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showInkAnnotation="0" codeName="ThisWorkbook" defaultThemeVersion="124226"/>
  <mc:AlternateContent xmlns:mc="http://schemas.openxmlformats.org/markup-compatibility/2006">
    <mc:Choice Requires="x15">
      <x15ac:absPath xmlns:x15ac="http://schemas.microsoft.com/office/spreadsheetml/2010/11/ac" url="https://cwp.sharepoint.com/projects/Documents/T-18-015/2-8 Revision of Calculators and Spreadsheets/"/>
    </mc:Choice>
  </mc:AlternateContent>
  <xr:revisionPtr revIDLastSave="0" documentId="8_{A5CA2588-DAE0-44BF-B9DB-7BD853AA6C67}" xr6:coauthVersionLast="46" xr6:coauthVersionMax="46" xr10:uidLastSave="{00000000-0000-0000-0000-000000000000}"/>
  <workbookProtection workbookAlgorithmName="SHA-512" workbookHashValue="FTI6lKpNgvzJO7JFkYgLr3vuC9g6a15UU9Z+M9OCtfV2zGuuIV/W12k8EUPW3nVUmPrim/9QvxSa28zrxzV4XQ==" workbookSaltValue="o+weEetrW4xDqvgxZ5lKhw==" workbookSpinCount="100000" lockStructure="1"/>
  <bookViews>
    <workbookView xWindow="-108" yWindow="-108" windowWidth="23256" windowHeight="12576" tabRatio="729" activeTab="1" xr2:uid="{DB2EEED5-C89C-40B3-8B02-383C2EB0FD5B}"/>
  </bookViews>
  <sheets>
    <sheet name="Instructions" sheetId="6" r:id="rId1"/>
    <sheet name="Compliance Check Summary" sheetId="9" r:id="rId2"/>
    <sheet name="Site Data" sheetId="11" state="hidden" r:id="rId3"/>
    <sheet name="1. Site Drainage Areas" sheetId="12" r:id="rId4"/>
    <sheet name="2. BMP Data" sheetId="14" r:id="rId5"/>
    <sheet name="3. Detention" sheetId="15" r:id="rId6"/>
    <sheet name="Saved Values" sheetId="5" state="hidden" r:id="rId7"/>
    <sheet name="Watersheds" sheetId="2" state="hidden" r:id="rId8"/>
    <sheet name="BMP Types" sheetId="4" state="hidden" r:id="rId9"/>
    <sheet name="Retention Calculations" sheetId="16" state="hidden" r:id="rId10"/>
  </sheets>
  <definedNames>
    <definedName name="Anacostia">Watersheds!$A$4:$A$23</definedName>
    <definedName name="Bioretention">'BMP Types'!$B$11:$D$11</definedName>
    <definedName name="BMP_ID" localSheetId="4">'2. BMP Data'!$B$7:$B$55</definedName>
    <definedName name="BMP_ID_Number">'2. BMP Data'!$B$5:$B$55</definedName>
    <definedName name="DownstreamBMP" localSheetId="4">'2. BMP Data'!$X$7:$X$55</definedName>
    <definedName name="DownstreamBMP">'2. BMP Data'!$X$7:$X$55</definedName>
    <definedName name="DownstreamBMP_ID" localSheetId="4">'2. BMP Data'!$X$7:$X$55</definedName>
    <definedName name="Filtering">'BMP Types'!$B$13:$D$13</definedName>
    <definedName name="Filtering_System">'BMP Types'!$B$13:$D$13</definedName>
    <definedName name="Green">'BMP Types'!$B$2:$B$2</definedName>
    <definedName name="Green_Roof">'BMP Types'!$B$2:$D$2</definedName>
    <definedName name="Impervious">'BMP Types'!$A$4:$B$4</definedName>
    <definedName name="Impervious_Surface_Disconnection">'BMP Types'!$A$4:$B$4</definedName>
    <definedName name="Infiltration">'BMP Types'!$B$14:$D$14</definedName>
    <definedName name="Morethanone">Watersheds!$D$4</definedName>
    <definedName name="Open">'BMP Types'!$B$15:$F$15</definedName>
    <definedName name="Open_Channel">'BMP Types'!$B$15:$D$15</definedName>
    <definedName name="Permeable">'BMP Types'!$B$8:$I$8</definedName>
    <definedName name="Permeable_Pavement">'BMP Types'!$B$8:$B$8</definedName>
    <definedName name="Pond">'BMP Types'!$B$19:$B$19</definedName>
    <definedName name="Ponds">'BMP Types'!$B$19:$B$19</definedName>
    <definedName name="Potomac">Watersheds!$B$4:$B$16</definedName>
    <definedName name="Proprietary">'BMP Types'!#REF!</definedName>
    <definedName name="Proprietary_Practice">'BMP Types'!$B$21:$B$21</definedName>
    <definedName name="Rainwater">'BMP Types'!#REF!</definedName>
    <definedName name="Rainwater_Harvesting">'BMP Types'!$B$3:$D$3</definedName>
    <definedName name="RockCreek">Watersheds!$C$4:$C$21</definedName>
    <definedName name="Storage">'BMP Types'!#REF!</definedName>
    <definedName name="Tree">'BMP Types'!$B$22:$E$22</definedName>
    <definedName name="Tree_Planting">'BMP Types'!$B$22:$D$22</definedName>
    <definedName name="Tree_Preservation">'BMP Types'!$B$27:$D$27</definedName>
    <definedName name="Volume_Remaining" localSheetId="4">'2. BMP Data'!$U$7:$U$55</definedName>
    <definedName name="Wetland">'BMP Types'!$B$20:$B$20</definedName>
    <definedName name="Wetlands">'BMP Types'!$B$20:$B$20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1" i="9" l="1"/>
  <c r="H30" i="9"/>
  <c r="H29" i="9"/>
  <c r="H28" i="9"/>
  <c r="H27" i="9"/>
  <c r="H26" i="9"/>
  <c r="H25" i="9"/>
  <c r="H24" i="9"/>
  <c r="H23" i="9"/>
  <c r="H22" i="9"/>
  <c r="H21" i="9"/>
  <c r="H20" i="9"/>
  <c r="H19" i="9"/>
  <c r="H18" i="9"/>
  <c r="H17" i="9"/>
  <c r="BD25" i="12"/>
  <c r="BD24" i="12"/>
  <c r="BD23" i="12"/>
  <c r="BD22" i="12"/>
  <c r="BD21" i="12"/>
  <c r="BD20" i="12"/>
  <c r="BD19" i="12"/>
  <c r="BD18" i="12"/>
  <c r="BD17" i="12"/>
  <c r="BD16" i="12"/>
  <c r="BD15" i="12"/>
  <c r="BD14" i="12"/>
  <c r="BD13" i="12"/>
  <c r="BD12" i="12"/>
  <c r="BD11" i="12"/>
  <c r="BC25" i="12"/>
  <c r="BC24" i="12"/>
  <c r="BC23" i="12"/>
  <c r="BC22" i="12"/>
  <c r="BC21" i="12"/>
  <c r="BC20" i="12"/>
  <c r="BC19" i="12"/>
  <c r="BC18" i="12"/>
  <c r="BC17" i="12"/>
  <c r="BC16" i="12"/>
  <c r="BC15" i="12"/>
  <c r="BC14" i="12"/>
  <c r="BC13" i="12"/>
  <c r="BC12" i="12"/>
  <c r="BC11" i="12"/>
  <c r="BB25" i="12"/>
  <c r="BB24" i="12"/>
  <c r="BB23" i="12"/>
  <c r="BB22" i="12"/>
  <c r="BB21" i="12"/>
  <c r="BB20" i="12"/>
  <c r="BB19" i="12"/>
  <c r="BB18" i="12"/>
  <c r="BB17" i="12"/>
  <c r="BB16" i="12"/>
  <c r="BB15" i="12"/>
  <c r="BB14" i="12"/>
  <c r="BB13" i="12"/>
  <c r="BB12" i="12"/>
  <c r="BB11" i="12"/>
  <c r="AL25" i="12" l="1"/>
  <c r="AL24" i="12"/>
  <c r="AL23" i="12"/>
  <c r="AL22" i="12"/>
  <c r="AL21" i="12"/>
  <c r="AL20" i="12"/>
  <c r="AL19" i="12"/>
  <c r="AL18" i="12"/>
  <c r="AL17" i="12"/>
  <c r="AL16" i="12"/>
  <c r="AL15" i="12"/>
  <c r="AL14" i="12"/>
  <c r="AL13" i="12"/>
  <c r="AL12" i="12"/>
  <c r="AL11" i="12"/>
  <c r="AZ25" i="12" l="1"/>
  <c r="AZ24" i="12"/>
  <c r="AZ23" i="12"/>
  <c r="AZ22" i="12"/>
  <c r="AZ21" i="12"/>
  <c r="AZ20" i="12"/>
  <c r="AZ19" i="12"/>
  <c r="AZ18" i="12"/>
  <c r="AZ17" i="12"/>
  <c r="AZ16" i="12"/>
  <c r="AZ15" i="12"/>
  <c r="AZ14" i="12"/>
  <c r="AZ13" i="12"/>
  <c r="AZ12" i="12"/>
  <c r="AZ11" i="12"/>
  <c r="AX25" i="12"/>
  <c r="AX24" i="12"/>
  <c r="AX23" i="12"/>
  <c r="AX22" i="12"/>
  <c r="AX21" i="12"/>
  <c r="AX20" i="12"/>
  <c r="AX19" i="12"/>
  <c r="AX18" i="12"/>
  <c r="AX17" i="12"/>
  <c r="AX16" i="12"/>
  <c r="AX15" i="12"/>
  <c r="AX14" i="12"/>
  <c r="AX13" i="12"/>
  <c r="AX12" i="12"/>
  <c r="AX11" i="12"/>
  <c r="AS25" i="12" l="1"/>
  <c r="AS24" i="12"/>
  <c r="AS23" i="12"/>
  <c r="AS22" i="12"/>
  <c r="AS21" i="12"/>
  <c r="AS20" i="12"/>
  <c r="AS19" i="12"/>
  <c r="AS18" i="12"/>
  <c r="AS17" i="12"/>
  <c r="AS16" i="12"/>
  <c r="AS15" i="12"/>
  <c r="AS14" i="12"/>
  <c r="AS13" i="12"/>
  <c r="AS12" i="12"/>
  <c r="BF25" i="12"/>
  <c r="BF24" i="12"/>
  <c r="BF23" i="12"/>
  <c r="BF22" i="12"/>
  <c r="BF21" i="12"/>
  <c r="BF20" i="12"/>
  <c r="BF19" i="12"/>
  <c r="BF18" i="12"/>
  <c r="BF17" i="12"/>
  <c r="BF16" i="12"/>
  <c r="BF15" i="12"/>
  <c r="BF14" i="12"/>
  <c r="BF13" i="12"/>
  <c r="BF12" i="12"/>
  <c r="T55" i="14"/>
  <c r="T54" i="14"/>
  <c r="T53" i="14"/>
  <c r="T52" i="14"/>
  <c r="T51" i="14"/>
  <c r="T50" i="14"/>
  <c r="T49" i="14"/>
  <c r="T48" i="14"/>
  <c r="T47" i="14"/>
  <c r="T46" i="14"/>
  <c r="T45" i="14"/>
  <c r="T44" i="14"/>
  <c r="T43" i="14"/>
  <c r="T42" i="14"/>
  <c r="T41" i="14"/>
  <c r="T40" i="14"/>
  <c r="T39" i="14"/>
  <c r="T38" i="14"/>
  <c r="T37" i="14"/>
  <c r="T36" i="14"/>
  <c r="T35" i="14"/>
  <c r="T34" i="14"/>
  <c r="T33" i="14"/>
  <c r="T32" i="14"/>
  <c r="T31" i="14"/>
  <c r="T30" i="14"/>
  <c r="T29" i="14"/>
  <c r="T28" i="14"/>
  <c r="T27" i="14"/>
  <c r="T26" i="14"/>
  <c r="T25" i="14"/>
  <c r="T24" i="14"/>
  <c r="T23" i="14"/>
  <c r="T22" i="14"/>
  <c r="T21" i="14"/>
  <c r="T20" i="14"/>
  <c r="T19" i="14"/>
  <c r="T18" i="14"/>
  <c r="T17" i="14"/>
  <c r="T16" i="14"/>
  <c r="T15" i="14"/>
  <c r="T14" i="14"/>
  <c r="T12" i="14"/>
  <c r="Q19" i="11" l="1"/>
  <c r="L19" i="11"/>
  <c r="K19" i="11"/>
  <c r="J19" i="11"/>
  <c r="I19" i="11"/>
  <c r="E19" i="11"/>
  <c r="D19" i="11"/>
  <c r="C19" i="11"/>
  <c r="B19" i="11"/>
  <c r="B12" i="11"/>
  <c r="L12" i="11"/>
  <c r="AD8" i="12"/>
  <c r="S19" i="11" s="1"/>
  <c r="AC8" i="12"/>
  <c r="AB8" i="12"/>
  <c r="R19" i="11" s="1"/>
  <c r="AA8" i="12"/>
  <c r="Z8" i="12"/>
  <c r="P19" i="11" s="1"/>
  <c r="T8" i="12"/>
  <c r="S8" i="12"/>
  <c r="R8" i="12"/>
  <c r="Q8" i="12"/>
  <c r="P8" i="12"/>
  <c r="N8" i="12"/>
  <c r="O12" i="11" s="1"/>
  <c r="M8" i="12"/>
  <c r="N12" i="11" s="1"/>
  <c r="L8" i="12"/>
  <c r="M12" i="11" s="1"/>
  <c r="K8" i="12"/>
  <c r="I8" i="12"/>
  <c r="H8" i="12"/>
  <c r="G8" i="12"/>
  <c r="F8" i="12"/>
  <c r="J12" i="11"/>
  <c r="I12" i="11"/>
  <c r="H12" i="11"/>
  <c r="G12" i="11"/>
  <c r="E12" i="11"/>
  <c r="D12" i="11"/>
  <c r="C12" i="11"/>
  <c r="AM24" i="15" l="1"/>
  <c r="AM23" i="15"/>
  <c r="AM22" i="15"/>
  <c r="AM21" i="15"/>
  <c r="AM20" i="15"/>
  <c r="AM19" i="15"/>
  <c r="AM18" i="15"/>
  <c r="AM17" i="15"/>
  <c r="AM16" i="15"/>
  <c r="AM15" i="15"/>
  <c r="AM14" i="15"/>
  <c r="AM13" i="15"/>
  <c r="AM12" i="15"/>
  <c r="AM11" i="15"/>
  <c r="AH24" i="15"/>
  <c r="AH23" i="15"/>
  <c r="AH22" i="15"/>
  <c r="AH21" i="15"/>
  <c r="AH20" i="15"/>
  <c r="AH19" i="15"/>
  <c r="AH18" i="15"/>
  <c r="AH17" i="15"/>
  <c r="AH16" i="15"/>
  <c r="AH15" i="15"/>
  <c r="AH14" i="15"/>
  <c r="AH13" i="15"/>
  <c r="AH12" i="15"/>
  <c r="AH11" i="15"/>
  <c r="X24" i="15" l="1"/>
  <c r="X23" i="15"/>
  <c r="X22" i="15"/>
  <c r="X21" i="15"/>
  <c r="X20" i="15"/>
  <c r="X19" i="15"/>
  <c r="X18" i="15"/>
  <c r="X17" i="15"/>
  <c r="X16" i="15"/>
  <c r="X15" i="15"/>
  <c r="X14" i="15"/>
  <c r="X13" i="15"/>
  <c r="X12" i="15"/>
  <c r="X11" i="15"/>
  <c r="V24" i="15"/>
  <c r="V23" i="15"/>
  <c r="V22" i="15"/>
  <c r="V21" i="15"/>
  <c r="V20" i="15"/>
  <c r="V19" i="15"/>
  <c r="V18" i="15"/>
  <c r="V17" i="15"/>
  <c r="V16" i="15"/>
  <c r="V15" i="15"/>
  <c r="V14" i="15"/>
  <c r="V13" i="15"/>
  <c r="V12" i="15"/>
  <c r="V11" i="15"/>
  <c r="T24" i="15"/>
  <c r="T23" i="15"/>
  <c r="T22" i="15"/>
  <c r="T21" i="15"/>
  <c r="T20" i="15"/>
  <c r="T19" i="15"/>
  <c r="T18" i="15"/>
  <c r="T17" i="15"/>
  <c r="T16" i="15"/>
  <c r="T15" i="15"/>
  <c r="T14" i="15"/>
  <c r="T13" i="15"/>
  <c r="T12" i="15"/>
  <c r="T11" i="15"/>
  <c r="R24" i="15"/>
  <c r="R23" i="15"/>
  <c r="R22" i="15"/>
  <c r="R21" i="15"/>
  <c r="R20" i="15"/>
  <c r="R19" i="15"/>
  <c r="R18" i="15"/>
  <c r="R17" i="15"/>
  <c r="R16" i="15"/>
  <c r="R15" i="15"/>
  <c r="R14" i="15"/>
  <c r="R13" i="15"/>
  <c r="R12" i="15"/>
  <c r="R11" i="15"/>
  <c r="P24" i="15"/>
  <c r="P23" i="15"/>
  <c r="P22" i="15"/>
  <c r="P21" i="15"/>
  <c r="P20" i="15"/>
  <c r="P19" i="15"/>
  <c r="P18" i="15"/>
  <c r="P17" i="15"/>
  <c r="P16" i="15"/>
  <c r="P15" i="15"/>
  <c r="P14" i="15"/>
  <c r="P13" i="15"/>
  <c r="P12" i="15"/>
  <c r="P11" i="15"/>
  <c r="L24" i="15"/>
  <c r="L23" i="15"/>
  <c r="L22" i="15"/>
  <c r="L21" i="15"/>
  <c r="L20" i="15"/>
  <c r="L19" i="15"/>
  <c r="L18" i="15"/>
  <c r="L17" i="15"/>
  <c r="L16" i="15"/>
  <c r="L15" i="15"/>
  <c r="L14" i="15"/>
  <c r="L13" i="15"/>
  <c r="L12" i="15"/>
  <c r="L11" i="15"/>
  <c r="J24" i="15"/>
  <c r="J23" i="15"/>
  <c r="J22" i="15"/>
  <c r="J21" i="15"/>
  <c r="J20" i="15"/>
  <c r="J19" i="15"/>
  <c r="J18" i="15"/>
  <c r="J17" i="15"/>
  <c r="J16" i="15"/>
  <c r="J15" i="15"/>
  <c r="J14" i="15"/>
  <c r="J13" i="15"/>
  <c r="J12" i="15"/>
  <c r="J11" i="15"/>
  <c r="F24" i="15"/>
  <c r="K24" i="15" s="1"/>
  <c r="F23" i="15"/>
  <c r="K23" i="15" s="1"/>
  <c r="F22" i="15"/>
  <c r="K22" i="15" s="1"/>
  <c r="F21" i="15"/>
  <c r="K21" i="15" s="1"/>
  <c r="F20" i="15"/>
  <c r="K20" i="15" s="1"/>
  <c r="F19" i="15"/>
  <c r="K19" i="15" s="1"/>
  <c r="F18" i="15"/>
  <c r="K18" i="15" s="1"/>
  <c r="F17" i="15"/>
  <c r="K17" i="15" s="1"/>
  <c r="F16" i="15"/>
  <c r="K16" i="15" s="1"/>
  <c r="F15" i="15"/>
  <c r="K15" i="15" s="1"/>
  <c r="F14" i="15"/>
  <c r="K14" i="15" s="1"/>
  <c r="F13" i="15"/>
  <c r="K13" i="15" s="1"/>
  <c r="F12" i="15"/>
  <c r="K12" i="15" s="1"/>
  <c r="F11" i="15"/>
  <c r="K11" i="15" s="1"/>
  <c r="H24" i="15"/>
  <c r="H23" i="15"/>
  <c r="H22" i="15"/>
  <c r="H21" i="15"/>
  <c r="H20" i="15"/>
  <c r="H19" i="15"/>
  <c r="H18" i="15"/>
  <c r="H17" i="15"/>
  <c r="H16" i="15"/>
  <c r="H15" i="15"/>
  <c r="H14" i="15"/>
  <c r="H13" i="15"/>
  <c r="H12" i="15"/>
  <c r="H11" i="15"/>
  <c r="AY25" i="12"/>
  <c r="AY24" i="12"/>
  <c r="AY23" i="12"/>
  <c r="AY22" i="12"/>
  <c r="AY21" i="12"/>
  <c r="AY20" i="12"/>
  <c r="AY19" i="12"/>
  <c r="AY18" i="12"/>
  <c r="AY17" i="12"/>
  <c r="AY16" i="12"/>
  <c r="AY15" i="12"/>
  <c r="AY14" i="12"/>
  <c r="AY13" i="12"/>
  <c r="AY12" i="12"/>
  <c r="BG25" i="12" l="1"/>
  <c r="BG24" i="12"/>
  <c r="BG23" i="12"/>
  <c r="BG22" i="12"/>
  <c r="BG21" i="12"/>
  <c r="BG20" i="12"/>
  <c r="BG19" i="12"/>
  <c r="BG18" i="12"/>
  <c r="BG17" i="12"/>
  <c r="BG16" i="12"/>
  <c r="BG15" i="12"/>
  <c r="BG14" i="12"/>
  <c r="BG13" i="12"/>
  <c r="BG12" i="12"/>
  <c r="BA25" i="12"/>
  <c r="BA24" i="12"/>
  <c r="BA23" i="12"/>
  <c r="BA22" i="12"/>
  <c r="BA21" i="12"/>
  <c r="BA20" i="12"/>
  <c r="BA19" i="12"/>
  <c r="BA18" i="12"/>
  <c r="BA17" i="12"/>
  <c r="BA16" i="12"/>
  <c r="BA15" i="12"/>
  <c r="BA14" i="12"/>
  <c r="BA13" i="12"/>
  <c r="BA12" i="12"/>
  <c r="AY11" i="12"/>
  <c r="AW25" i="12"/>
  <c r="AW24" i="12"/>
  <c r="AW23" i="12"/>
  <c r="AW22" i="12"/>
  <c r="AW21" i="12"/>
  <c r="AW20" i="12"/>
  <c r="AW19" i="12"/>
  <c r="AW18" i="12"/>
  <c r="AW17" i="12"/>
  <c r="AW16" i="12"/>
  <c r="AW15" i="12"/>
  <c r="AW14" i="12"/>
  <c r="AW13" i="12"/>
  <c r="AW12" i="12"/>
  <c r="AV25" i="12"/>
  <c r="AU25" i="12"/>
  <c r="AT25" i="12"/>
  <c r="AR25" i="12"/>
  <c r="AQ25" i="12"/>
  <c r="AP25" i="12"/>
  <c r="AO25" i="12"/>
  <c r="AN25" i="12"/>
  <c r="AV24" i="12"/>
  <c r="AU24" i="12"/>
  <c r="AT24" i="12"/>
  <c r="AR24" i="12"/>
  <c r="AQ24" i="12"/>
  <c r="AP24" i="12"/>
  <c r="AO24" i="12"/>
  <c r="AN24" i="12"/>
  <c r="AV23" i="12"/>
  <c r="AU23" i="12"/>
  <c r="AT23" i="12"/>
  <c r="AR23" i="12"/>
  <c r="AQ23" i="12"/>
  <c r="AP23" i="12"/>
  <c r="AO23" i="12"/>
  <c r="AN23" i="12"/>
  <c r="AV22" i="12"/>
  <c r="AU22" i="12"/>
  <c r="AT22" i="12"/>
  <c r="AR22" i="12"/>
  <c r="AQ22" i="12"/>
  <c r="AP22" i="12"/>
  <c r="AO22" i="12"/>
  <c r="AN22" i="12"/>
  <c r="AV21" i="12"/>
  <c r="AU21" i="12"/>
  <c r="AT21" i="12"/>
  <c r="AR21" i="12"/>
  <c r="AQ21" i="12"/>
  <c r="AP21" i="12"/>
  <c r="AO21" i="12"/>
  <c r="AN21" i="12"/>
  <c r="AV20" i="12"/>
  <c r="AU20" i="12"/>
  <c r="AT20" i="12"/>
  <c r="AR20" i="12"/>
  <c r="AQ20" i="12"/>
  <c r="AP20" i="12"/>
  <c r="AO20" i="12"/>
  <c r="AN20" i="12"/>
  <c r="AV19" i="12"/>
  <c r="AU19" i="12"/>
  <c r="AT19" i="12"/>
  <c r="AR19" i="12"/>
  <c r="AQ19" i="12"/>
  <c r="AP19" i="12"/>
  <c r="AO19" i="12"/>
  <c r="AN19" i="12"/>
  <c r="AV18" i="12"/>
  <c r="AU18" i="12"/>
  <c r="AT18" i="12"/>
  <c r="AR18" i="12"/>
  <c r="AQ18" i="12"/>
  <c r="AP18" i="12"/>
  <c r="AO18" i="12"/>
  <c r="AN18" i="12"/>
  <c r="AV17" i="12"/>
  <c r="AU17" i="12"/>
  <c r="AT17" i="12"/>
  <c r="AR17" i="12"/>
  <c r="AQ17" i="12"/>
  <c r="AP17" i="12"/>
  <c r="AO17" i="12"/>
  <c r="AN17" i="12"/>
  <c r="AV16" i="12"/>
  <c r="AU16" i="12"/>
  <c r="AT16" i="12"/>
  <c r="AR16" i="12"/>
  <c r="AQ16" i="12"/>
  <c r="AP16" i="12"/>
  <c r="AO16" i="12"/>
  <c r="AN16" i="12"/>
  <c r="AV15" i="12"/>
  <c r="AU15" i="12"/>
  <c r="AT15" i="12"/>
  <c r="AR15" i="12"/>
  <c r="AQ15" i="12"/>
  <c r="AP15" i="12"/>
  <c r="AO15" i="12"/>
  <c r="AN15" i="12"/>
  <c r="AV14" i="12"/>
  <c r="AU14" i="12"/>
  <c r="AT14" i="12"/>
  <c r="AR14" i="12"/>
  <c r="AQ14" i="12"/>
  <c r="AP14" i="12"/>
  <c r="AO14" i="12"/>
  <c r="AN14" i="12"/>
  <c r="AV13" i="12"/>
  <c r="AU13" i="12"/>
  <c r="AT13" i="12"/>
  <c r="AR13" i="12"/>
  <c r="AQ13" i="12"/>
  <c r="AP13" i="12"/>
  <c r="AO13" i="12"/>
  <c r="AN13" i="12"/>
  <c r="AV12" i="12"/>
  <c r="AU12" i="12"/>
  <c r="AT12" i="12"/>
  <c r="AR12" i="12"/>
  <c r="AQ12" i="12"/>
  <c r="AP12" i="12"/>
  <c r="AO12" i="12"/>
  <c r="AN12" i="12"/>
  <c r="AR11" i="12"/>
  <c r="AP11" i="12"/>
  <c r="AO11" i="12"/>
  <c r="AN11" i="12"/>
  <c r="AR10" i="12"/>
  <c r="AP10" i="12"/>
  <c r="AO10" i="12"/>
  <c r="AN10" i="12"/>
  <c r="AR9" i="12"/>
  <c r="AP9" i="12"/>
  <c r="AO9" i="12"/>
  <c r="AN9" i="12"/>
  <c r="AM25" i="12"/>
  <c r="AM24" i="12"/>
  <c r="AM23" i="12"/>
  <c r="AM22" i="12"/>
  <c r="AM21" i="12"/>
  <c r="AM20" i="12"/>
  <c r="AM19" i="12"/>
  <c r="AM18" i="12"/>
  <c r="AM17" i="12"/>
  <c r="AM16" i="12"/>
  <c r="AM15" i="12"/>
  <c r="AM14" i="12"/>
  <c r="AM13" i="12"/>
  <c r="AM12" i="12"/>
  <c r="AM11" i="12"/>
  <c r="AM10" i="12"/>
  <c r="AM9" i="12"/>
  <c r="AK25" i="12"/>
  <c r="AK24" i="12"/>
  <c r="AK23" i="12"/>
  <c r="AK22" i="12"/>
  <c r="AK21" i="12"/>
  <c r="AK20" i="12"/>
  <c r="AK19" i="12"/>
  <c r="AK18" i="12"/>
  <c r="AK17" i="12"/>
  <c r="AK16" i="12"/>
  <c r="AK15" i="12"/>
  <c r="AK14" i="12"/>
  <c r="AK13" i="12"/>
  <c r="AK12" i="12"/>
  <c r="AK11" i="12"/>
  <c r="AN8" i="12" l="1"/>
  <c r="AP8" i="12"/>
  <c r="AO8" i="12"/>
  <c r="AM8" i="12"/>
  <c r="AR8" i="12"/>
  <c r="Z19" i="11"/>
  <c r="Y19" i="11"/>
  <c r="X19" i="11"/>
  <c r="W19" i="11"/>
  <c r="T12" i="11"/>
  <c r="S12" i="11"/>
  <c r="R12" i="11"/>
  <c r="Q12" i="11"/>
  <c r="AA19" i="11" l="1"/>
  <c r="G18" i="9"/>
  <c r="G19" i="9"/>
  <c r="G20" i="9"/>
  <c r="G21" i="9"/>
  <c r="G22" i="9"/>
  <c r="G23" i="9"/>
  <c r="G24" i="9"/>
  <c r="G25" i="9"/>
  <c r="G26" i="9"/>
  <c r="G27" i="9"/>
  <c r="G28" i="9"/>
  <c r="G29" i="9"/>
  <c r="G30" i="9"/>
  <c r="G31" i="9"/>
  <c r="F18" i="9"/>
  <c r="F19" i="9"/>
  <c r="F20" i="9"/>
  <c r="F21" i="9"/>
  <c r="F22" i="9"/>
  <c r="F23" i="9"/>
  <c r="F24" i="9"/>
  <c r="F25" i="9"/>
  <c r="F26" i="9"/>
  <c r="F27" i="9"/>
  <c r="F28" i="9"/>
  <c r="F29" i="9"/>
  <c r="F30" i="9"/>
  <c r="F31" i="9"/>
  <c r="E18" i="9"/>
  <c r="E19" i="9"/>
  <c r="E20" i="9"/>
  <c r="E21" i="9"/>
  <c r="E22" i="9"/>
  <c r="E23" i="9"/>
  <c r="E24" i="9"/>
  <c r="E25" i="9"/>
  <c r="E26" i="9"/>
  <c r="E27" i="9"/>
  <c r="E28" i="9"/>
  <c r="E29" i="9"/>
  <c r="E30" i="9"/>
  <c r="E31" i="9"/>
  <c r="D18" i="9"/>
  <c r="D19" i="9"/>
  <c r="D20" i="9"/>
  <c r="D21" i="9"/>
  <c r="D22" i="9"/>
  <c r="D23" i="9"/>
  <c r="D24" i="9"/>
  <c r="D25" i="9"/>
  <c r="D26" i="9"/>
  <c r="D27" i="9"/>
  <c r="D28" i="9"/>
  <c r="D29" i="9"/>
  <c r="D30" i="9"/>
  <c r="D31" i="9"/>
  <c r="C16" i="9"/>
  <c r="C17" i="9"/>
  <c r="C18" i="9"/>
  <c r="C19" i="9"/>
  <c r="C20" i="9"/>
  <c r="C21" i="9"/>
  <c r="C22" i="9"/>
  <c r="C23" i="9"/>
  <c r="C24" i="9"/>
  <c r="C25" i="9"/>
  <c r="C26" i="9"/>
  <c r="C27" i="9"/>
  <c r="C28" i="9"/>
  <c r="C29" i="9"/>
  <c r="C30" i="9"/>
  <c r="C31" i="9"/>
  <c r="C15" i="9"/>
  <c r="D15" i="9" s="1"/>
  <c r="B16" i="9"/>
  <c r="B17" i="9"/>
  <c r="B18" i="9"/>
  <c r="B19" i="9"/>
  <c r="B20" i="9"/>
  <c r="B21" i="9"/>
  <c r="B22" i="9"/>
  <c r="B23" i="9"/>
  <c r="B24" i="9"/>
  <c r="B25" i="9"/>
  <c r="B26" i="9"/>
  <c r="B27" i="9"/>
  <c r="B28" i="9"/>
  <c r="B29" i="9"/>
  <c r="B30" i="9"/>
  <c r="B31" i="9"/>
  <c r="B15" i="9"/>
  <c r="AJ12" i="12"/>
  <c r="AJ13" i="12"/>
  <c r="AJ14" i="12"/>
  <c r="AJ15" i="12"/>
  <c r="AJ16" i="12"/>
  <c r="AJ17" i="12"/>
  <c r="AJ18" i="12"/>
  <c r="AJ19" i="12"/>
  <c r="AJ20" i="12"/>
  <c r="AJ21" i="12"/>
  <c r="AJ22" i="12"/>
  <c r="AJ23" i="12"/>
  <c r="AJ24" i="12"/>
  <c r="AJ25" i="12"/>
  <c r="AI12" i="12"/>
  <c r="AI13" i="12"/>
  <c r="AI14" i="12"/>
  <c r="AI15" i="12"/>
  <c r="AI16" i="12"/>
  <c r="AI17" i="12"/>
  <c r="AI18" i="12"/>
  <c r="AI19" i="12"/>
  <c r="AI20" i="12"/>
  <c r="AI21" i="12"/>
  <c r="AI22" i="12"/>
  <c r="AI23" i="12"/>
  <c r="AI24" i="12"/>
  <c r="AI25" i="12"/>
  <c r="AE10" i="12"/>
  <c r="AE11" i="12"/>
  <c r="AE12" i="12"/>
  <c r="AE13" i="12"/>
  <c r="AE14" i="12"/>
  <c r="AE15" i="12"/>
  <c r="AE16" i="12"/>
  <c r="AE17" i="12"/>
  <c r="AE18" i="12"/>
  <c r="AE19" i="12"/>
  <c r="AE20" i="12"/>
  <c r="AE21" i="12"/>
  <c r="AE22" i="12"/>
  <c r="AE23" i="12"/>
  <c r="AE24" i="12"/>
  <c r="AE25" i="12"/>
  <c r="AE9" i="12"/>
  <c r="Y12" i="12"/>
  <c r="Y13" i="12"/>
  <c r="Y14" i="12"/>
  <c r="Y15" i="12"/>
  <c r="Y16" i="12"/>
  <c r="Y17" i="12"/>
  <c r="Y18" i="12"/>
  <c r="Y19" i="12"/>
  <c r="Y20" i="12"/>
  <c r="Y21" i="12"/>
  <c r="Y22" i="12"/>
  <c r="Y23" i="12"/>
  <c r="Y24" i="12"/>
  <c r="Y25" i="12"/>
  <c r="U10" i="12"/>
  <c r="U11" i="12"/>
  <c r="U12" i="12"/>
  <c r="U13" i="12"/>
  <c r="U14" i="12"/>
  <c r="U15" i="12"/>
  <c r="U16" i="12"/>
  <c r="U17" i="12"/>
  <c r="U18" i="12"/>
  <c r="U19" i="12"/>
  <c r="U20" i="12"/>
  <c r="U21" i="12"/>
  <c r="U22" i="12"/>
  <c r="U23" i="12"/>
  <c r="U24" i="12"/>
  <c r="U25" i="12"/>
  <c r="U9" i="12"/>
  <c r="O10" i="12"/>
  <c r="O11" i="12"/>
  <c r="O12" i="12"/>
  <c r="O13" i="12"/>
  <c r="O14" i="12"/>
  <c r="O15" i="12"/>
  <c r="O16" i="12"/>
  <c r="O17" i="12"/>
  <c r="O18" i="12"/>
  <c r="O19" i="12"/>
  <c r="O20" i="12"/>
  <c r="O21" i="12"/>
  <c r="O22" i="12"/>
  <c r="O23" i="12"/>
  <c r="O24" i="12"/>
  <c r="O25" i="12"/>
  <c r="O9" i="12"/>
  <c r="J10" i="12"/>
  <c r="J11" i="12"/>
  <c r="J12" i="12"/>
  <c r="J13" i="12"/>
  <c r="J14" i="12"/>
  <c r="J15" i="12"/>
  <c r="J16" i="12"/>
  <c r="J17" i="12"/>
  <c r="J18" i="12"/>
  <c r="J19" i="12"/>
  <c r="J20" i="12"/>
  <c r="J21" i="12"/>
  <c r="J22" i="12"/>
  <c r="J23" i="12"/>
  <c r="J24" i="12"/>
  <c r="J25" i="12"/>
  <c r="J9" i="12"/>
  <c r="AL11" i="15"/>
  <c r="AL12" i="15"/>
  <c r="AL13" i="15"/>
  <c r="AL14" i="15"/>
  <c r="AL15" i="15"/>
  <c r="AL16" i="15"/>
  <c r="AL17" i="15"/>
  <c r="AL18" i="15"/>
  <c r="AL19" i="15"/>
  <c r="AL20" i="15"/>
  <c r="AL21" i="15"/>
  <c r="AL22" i="15"/>
  <c r="AL23" i="15"/>
  <c r="AL24" i="15"/>
  <c r="AK11" i="15"/>
  <c r="AK12" i="15"/>
  <c r="AK13" i="15"/>
  <c r="AK14" i="15"/>
  <c r="AK15" i="15"/>
  <c r="AK16" i="15"/>
  <c r="AK17" i="15"/>
  <c r="AK18" i="15"/>
  <c r="AK19" i="15"/>
  <c r="AK20" i="15"/>
  <c r="AK21" i="15"/>
  <c r="AK22" i="15"/>
  <c r="AK23" i="15"/>
  <c r="AK24" i="15"/>
  <c r="AG11" i="15"/>
  <c r="AG12" i="15"/>
  <c r="AG13" i="15"/>
  <c r="AG14" i="15"/>
  <c r="AG15" i="15"/>
  <c r="AG16" i="15"/>
  <c r="AG17" i="15"/>
  <c r="AG18" i="15"/>
  <c r="AG19" i="15"/>
  <c r="AG20" i="15"/>
  <c r="AG21" i="15"/>
  <c r="AG22" i="15"/>
  <c r="AG23" i="15"/>
  <c r="AG24" i="15"/>
  <c r="AF11" i="15"/>
  <c r="AF12" i="15"/>
  <c r="AF13" i="15"/>
  <c r="AF14" i="15"/>
  <c r="AF15" i="15"/>
  <c r="AF16" i="15"/>
  <c r="AF17" i="15"/>
  <c r="AF18" i="15"/>
  <c r="AF19" i="15"/>
  <c r="AF20" i="15"/>
  <c r="AF21" i="15"/>
  <c r="AF22" i="15"/>
  <c r="AF23" i="15"/>
  <c r="AF24" i="15"/>
  <c r="AC11" i="15"/>
  <c r="AC12" i="15"/>
  <c r="AC13" i="15"/>
  <c r="AC14" i="15"/>
  <c r="AC15" i="15"/>
  <c r="AC16" i="15"/>
  <c r="AC17" i="15"/>
  <c r="AC18" i="15"/>
  <c r="AC19" i="15"/>
  <c r="AC20" i="15"/>
  <c r="AC21" i="15"/>
  <c r="AC22" i="15"/>
  <c r="AC23" i="15"/>
  <c r="AC24" i="15"/>
  <c r="AB11" i="15"/>
  <c r="AB12" i="15"/>
  <c r="AB13" i="15"/>
  <c r="AB14" i="15"/>
  <c r="AB15" i="15"/>
  <c r="AB16" i="15"/>
  <c r="AB17" i="15"/>
  <c r="AB18" i="15"/>
  <c r="AB19" i="15"/>
  <c r="AB20" i="15"/>
  <c r="AB21" i="15"/>
  <c r="AB22" i="15"/>
  <c r="AB23" i="15"/>
  <c r="AB24" i="15"/>
  <c r="AA11" i="15"/>
  <c r="AA12" i="15"/>
  <c r="AA13" i="15"/>
  <c r="AA14" i="15"/>
  <c r="AA15" i="15"/>
  <c r="AA16" i="15"/>
  <c r="AA17" i="15"/>
  <c r="AA18" i="15"/>
  <c r="AA19" i="15"/>
  <c r="AA20" i="15"/>
  <c r="AA21" i="15"/>
  <c r="AA22" i="15"/>
  <c r="AA23" i="15"/>
  <c r="AA24" i="15"/>
  <c r="Y11" i="15"/>
  <c r="Y12" i="15"/>
  <c r="Y13" i="15"/>
  <c r="Y14" i="15"/>
  <c r="Y15" i="15"/>
  <c r="Y16" i="15"/>
  <c r="Y17" i="15"/>
  <c r="Y18" i="15"/>
  <c r="Y19" i="15"/>
  <c r="Y20" i="15"/>
  <c r="Y21" i="15"/>
  <c r="Y22" i="15"/>
  <c r="Y23" i="15"/>
  <c r="Y24" i="15"/>
  <c r="O11" i="15"/>
  <c r="O12" i="15"/>
  <c r="O13" i="15"/>
  <c r="O14" i="15"/>
  <c r="O15" i="15"/>
  <c r="O16" i="15"/>
  <c r="O17" i="15"/>
  <c r="O18" i="15"/>
  <c r="O19" i="15"/>
  <c r="O20" i="15"/>
  <c r="O21" i="15"/>
  <c r="O22" i="15"/>
  <c r="O23" i="15"/>
  <c r="O24" i="15"/>
  <c r="N11" i="15"/>
  <c r="N12" i="15"/>
  <c r="N13" i="15"/>
  <c r="N14" i="15"/>
  <c r="N15" i="15"/>
  <c r="N16" i="15"/>
  <c r="N17" i="15"/>
  <c r="N18" i="15"/>
  <c r="N19" i="15"/>
  <c r="N20" i="15"/>
  <c r="N21" i="15"/>
  <c r="N22" i="15"/>
  <c r="N23" i="15"/>
  <c r="N24" i="15"/>
  <c r="E11" i="15"/>
  <c r="E12" i="15"/>
  <c r="E13" i="15"/>
  <c r="E14" i="15"/>
  <c r="E15" i="15"/>
  <c r="E16" i="15"/>
  <c r="E17" i="15"/>
  <c r="E18" i="15"/>
  <c r="E19" i="15"/>
  <c r="E20" i="15"/>
  <c r="E21" i="15"/>
  <c r="E22" i="15"/>
  <c r="E23" i="15"/>
  <c r="E24" i="15"/>
  <c r="D11" i="15"/>
  <c r="D12" i="15"/>
  <c r="D13" i="15"/>
  <c r="D14" i="15"/>
  <c r="D15" i="15"/>
  <c r="D16" i="15"/>
  <c r="D17" i="15"/>
  <c r="D18" i="15"/>
  <c r="D19" i="15"/>
  <c r="D20" i="15"/>
  <c r="D21" i="15"/>
  <c r="D22" i="15"/>
  <c r="D23" i="15"/>
  <c r="D24" i="15"/>
  <c r="C9" i="15"/>
  <c r="C10" i="15"/>
  <c r="C11" i="15"/>
  <c r="C12" i="15"/>
  <c r="C13" i="15"/>
  <c r="C14" i="15"/>
  <c r="C15" i="15"/>
  <c r="C16" i="15"/>
  <c r="C17" i="15"/>
  <c r="C18" i="15"/>
  <c r="C19" i="15"/>
  <c r="C20" i="15"/>
  <c r="C21" i="15"/>
  <c r="C22" i="15"/>
  <c r="C23" i="15"/>
  <c r="C24" i="15"/>
  <c r="C8" i="15"/>
  <c r="B8" i="15"/>
  <c r="B9" i="15"/>
  <c r="B10" i="15"/>
  <c r="B11" i="15"/>
  <c r="B12" i="15"/>
  <c r="B13" i="15"/>
  <c r="B14" i="15"/>
  <c r="B15" i="15"/>
  <c r="B16" i="15"/>
  <c r="B17" i="15"/>
  <c r="B18" i="15"/>
  <c r="B19" i="15"/>
  <c r="B20" i="15"/>
  <c r="B21" i="15"/>
  <c r="B22" i="15"/>
  <c r="B23" i="15"/>
  <c r="B24" i="15"/>
  <c r="G14" i="15" l="1"/>
  <c r="M14" i="15"/>
  <c r="Z14" i="15"/>
  <c r="AJ14" i="15"/>
  <c r="U14" i="15"/>
  <c r="S14" i="15"/>
  <c r="W14" i="15"/>
  <c r="I14" i="15"/>
  <c r="AE14" i="15"/>
  <c r="Q14" i="15"/>
  <c r="M16" i="15"/>
  <c r="AJ16" i="15"/>
  <c r="S16" i="15"/>
  <c r="W16" i="15"/>
  <c r="I16" i="15"/>
  <c r="AE16" i="15"/>
  <c r="Q16" i="15"/>
  <c r="U16" i="15"/>
  <c r="G16" i="15"/>
  <c r="Z16" i="15"/>
  <c r="Z15" i="15"/>
  <c r="M15" i="15"/>
  <c r="G15" i="15"/>
  <c r="AJ15" i="15"/>
  <c r="S15" i="15"/>
  <c r="AE15" i="15"/>
  <c r="W15" i="15"/>
  <c r="I15" i="15"/>
  <c r="Q15" i="15"/>
  <c r="U15" i="15"/>
  <c r="U13" i="15"/>
  <c r="G13" i="15"/>
  <c r="Z13" i="15"/>
  <c r="M13" i="15"/>
  <c r="AJ13" i="15"/>
  <c r="S13" i="15"/>
  <c r="W13" i="15"/>
  <c r="I13" i="15"/>
  <c r="AE13" i="15"/>
  <c r="Q13" i="15"/>
  <c r="U24" i="15"/>
  <c r="G24" i="15"/>
  <c r="Z24" i="15"/>
  <c r="M24" i="15"/>
  <c r="AJ24" i="15"/>
  <c r="S24" i="15"/>
  <c r="Q24" i="15"/>
  <c r="W24" i="15"/>
  <c r="I24" i="15"/>
  <c r="AE24" i="15"/>
  <c r="U12" i="15"/>
  <c r="G12" i="15"/>
  <c r="Z12" i="15"/>
  <c r="M12" i="15"/>
  <c r="AJ12" i="15"/>
  <c r="S12" i="15"/>
  <c r="Q12" i="15"/>
  <c r="W12" i="15"/>
  <c r="I12" i="15"/>
  <c r="AE12" i="15"/>
  <c r="Q23" i="15"/>
  <c r="U23" i="15"/>
  <c r="G23" i="15"/>
  <c r="Z23" i="15"/>
  <c r="M23" i="15"/>
  <c r="AJ23" i="15"/>
  <c r="S23" i="15"/>
  <c r="W23" i="15"/>
  <c r="I23" i="15"/>
  <c r="AE23" i="15"/>
  <c r="Q11" i="15"/>
  <c r="U11" i="15"/>
  <c r="G11" i="15"/>
  <c r="Z11" i="15"/>
  <c r="M11" i="15"/>
  <c r="AJ11" i="15"/>
  <c r="S11" i="15"/>
  <c r="W11" i="15"/>
  <c r="I11" i="15"/>
  <c r="AE11" i="15"/>
  <c r="I21" i="15"/>
  <c r="AE21" i="15"/>
  <c r="Q21" i="15"/>
  <c r="U21" i="15"/>
  <c r="M21" i="15"/>
  <c r="G21" i="15"/>
  <c r="Z21" i="15"/>
  <c r="AJ21" i="15"/>
  <c r="S21" i="15"/>
  <c r="W21" i="15"/>
  <c r="I9" i="15"/>
  <c r="AE9" i="15"/>
  <c r="Q9" i="15"/>
  <c r="U9" i="15"/>
  <c r="G9" i="15"/>
  <c r="M9" i="15"/>
  <c r="Z9" i="15"/>
  <c r="AJ9" i="15"/>
  <c r="S9" i="15"/>
  <c r="W9" i="15"/>
  <c r="AJ17" i="15"/>
  <c r="S17" i="15"/>
  <c r="M17" i="15"/>
  <c r="W17" i="15"/>
  <c r="I17" i="15"/>
  <c r="AE17" i="15"/>
  <c r="Q17" i="15"/>
  <c r="U17" i="15"/>
  <c r="G17" i="15"/>
  <c r="Z17" i="15"/>
  <c r="AE10" i="15"/>
  <c r="Q10" i="15"/>
  <c r="U10" i="15"/>
  <c r="G10" i="15"/>
  <c r="Z10" i="15"/>
  <c r="AJ10" i="15"/>
  <c r="M10" i="15"/>
  <c r="S10" i="15"/>
  <c r="I10" i="15"/>
  <c r="W10" i="15"/>
  <c r="W20" i="15"/>
  <c r="I20" i="15"/>
  <c r="AE20" i="15"/>
  <c r="Q20" i="15"/>
  <c r="U20" i="15"/>
  <c r="G20" i="15"/>
  <c r="Z20" i="15"/>
  <c r="M20" i="15"/>
  <c r="AJ20" i="15"/>
  <c r="S20" i="15"/>
  <c r="W8" i="15"/>
  <c r="I8" i="15"/>
  <c r="AE8" i="15"/>
  <c r="Q8" i="15"/>
  <c r="U8" i="15"/>
  <c r="G8" i="15"/>
  <c r="M8" i="15"/>
  <c r="Z8" i="15"/>
  <c r="AJ8" i="15"/>
  <c r="S8" i="15"/>
  <c r="W19" i="15"/>
  <c r="I19" i="15"/>
  <c r="AE19" i="15"/>
  <c r="Q19" i="15"/>
  <c r="S19" i="15"/>
  <c r="U19" i="15"/>
  <c r="G19" i="15"/>
  <c r="Z19" i="15"/>
  <c r="M19" i="15"/>
  <c r="AJ19" i="15"/>
  <c r="AE22" i="15"/>
  <c r="Q22" i="15"/>
  <c r="U22" i="15"/>
  <c r="G22" i="15"/>
  <c r="Z22" i="15"/>
  <c r="M22" i="15"/>
  <c r="AJ22" i="15"/>
  <c r="S22" i="15"/>
  <c r="W22" i="15"/>
  <c r="I22" i="15"/>
  <c r="S18" i="15"/>
  <c r="W18" i="15"/>
  <c r="I18" i="15"/>
  <c r="AE18" i="15"/>
  <c r="Q18" i="15"/>
  <c r="U18" i="15"/>
  <c r="G18" i="15"/>
  <c r="Z18" i="15"/>
  <c r="M18" i="15"/>
  <c r="AJ18" i="15"/>
  <c r="P8" i="15"/>
  <c r="T8" i="15"/>
  <c r="J8" i="15"/>
  <c r="R8" i="15"/>
  <c r="F8" i="15"/>
  <c r="K8" i="15" s="1"/>
  <c r="H8" i="15"/>
  <c r="L8" i="15"/>
  <c r="V8" i="15"/>
  <c r="T10" i="15"/>
  <c r="F10" i="15"/>
  <c r="K10" i="15" s="1"/>
  <c r="L10" i="15"/>
  <c r="R10" i="15"/>
  <c r="H10" i="15"/>
  <c r="V10" i="15"/>
  <c r="J10" i="15"/>
  <c r="P10" i="15"/>
  <c r="F9" i="15"/>
  <c r="K9" i="15" s="1"/>
  <c r="L9" i="15"/>
  <c r="T9" i="15"/>
  <c r="R9" i="15"/>
  <c r="P9" i="15"/>
  <c r="V9" i="15"/>
  <c r="H9" i="15"/>
  <c r="J9" i="15"/>
  <c r="D9" i="15"/>
  <c r="F15" i="9"/>
  <c r="D8" i="15"/>
  <c r="D10" i="15"/>
  <c r="D7" i="15" l="1"/>
  <c r="N10" i="15"/>
  <c r="X10" i="15"/>
  <c r="N8" i="15"/>
  <c r="N9" i="15"/>
  <c r="C7" i="15"/>
  <c r="O9" i="15" l="1"/>
  <c r="X9" i="15"/>
  <c r="O10" i="15"/>
  <c r="O8" i="15"/>
  <c r="J8" i="12"/>
  <c r="B7" i="15"/>
  <c r="U12" i="11"/>
  <c r="P12" i="11"/>
  <c r="O8" i="12"/>
  <c r="X8" i="15" l="1"/>
  <c r="E8" i="15"/>
  <c r="E9" i="15"/>
  <c r="E10" i="15"/>
  <c r="L7" i="15" l="1"/>
  <c r="T7" i="15"/>
  <c r="V7" i="15"/>
  <c r="J7" i="15"/>
  <c r="R7" i="15"/>
  <c r="S7" i="15" s="1"/>
  <c r="P7" i="15"/>
  <c r="Q7" i="15" s="1"/>
  <c r="E7" i="15"/>
  <c r="H7" i="15"/>
  <c r="I7" i="15" s="1"/>
  <c r="F7" i="15"/>
  <c r="G7" i="15" s="1"/>
  <c r="J15" i="9" s="1"/>
  <c r="Y10" i="15" l="1"/>
  <c r="Y8" i="15"/>
  <c r="Y9" i="15"/>
  <c r="B37" i="14"/>
  <c r="O37" i="14" s="1"/>
  <c r="B38" i="14"/>
  <c r="O38" i="14" s="1"/>
  <c r="B39" i="14"/>
  <c r="O39" i="14" s="1"/>
  <c r="B40" i="14"/>
  <c r="O40" i="14" s="1"/>
  <c r="B41" i="14"/>
  <c r="O41" i="14" s="1"/>
  <c r="B42" i="14"/>
  <c r="O42" i="14" s="1"/>
  <c r="B43" i="14"/>
  <c r="O43" i="14" s="1"/>
  <c r="B44" i="14"/>
  <c r="O44" i="14" s="1"/>
  <c r="B45" i="14"/>
  <c r="O45" i="14" s="1"/>
  <c r="B30" i="14"/>
  <c r="O30" i="14" s="1"/>
  <c r="B31" i="14"/>
  <c r="O31" i="14" s="1"/>
  <c r="B32" i="14"/>
  <c r="O32" i="14" s="1"/>
  <c r="B33" i="14"/>
  <c r="O33" i="14" s="1"/>
  <c r="B34" i="14"/>
  <c r="O34" i="14" s="1"/>
  <c r="B35" i="14"/>
  <c r="O35" i="14" s="1"/>
  <c r="B36" i="14"/>
  <c r="O36" i="14" s="1"/>
  <c r="U43" i="14" l="1"/>
  <c r="W43" i="14"/>
  <c r="W40" i="14"/>
  <c r="U40" i="14"/>
  <c r="W39" i="14"/>
  <c r="U39" i="14"/>
  <c r="W45" i="14"/>
  <c r="U45" i="14"/>
  <c r="U42" i="14"/>
  <c r="W42" i="14"/>
  <c r="W36" i="14"/>
  <c r="U36" i="14"/>
  <c r="W38" i="14"/>
  <c r="U38" i="14"/>
  <c r="W44" i="14"/>
  <c r="U44" i="14"/>
  <c r="W41" i="14"/>
  <c r="U41" i="14"/>
  <c r="W35" i="14"/>
  <c r="U35" i="14"/>
  <c r="W33" i="14"/>
  <c r="U33" i="14"/>
  <c r="W32" i="14"/>
  <c r="U32" i="14"/>
  <c r="W34" i="14"/>
  <c r="U34" i="14"/>
  <c r="W37" i="14"/>
  <c r="U37" i="14"/>
  <c r="W31" i="14"/>
  <c r="U31" i="14"/>
  <c r="U30" i="14"/>
  <c r="W30" i="14"/>
  <c r="V32" i="14"/>
  <c r="Y32" i="14"/>
  <c r="P32" i="14"/>
  <c r="Y31" i="14"/>
  <c r="V31" i="14"/>
  <c r="P31" i="14"/>
  <c r="Y30" i="14"/>
  <c r="V30" i="14"/>
  <c r="P30" i="14"/>
  <c r="Y45" i="14"/>
  <c r="V45" i="14"/>
  <c r="P45" i="14"/>
  <c r="Y44" i="14"/>
  <c r="V44" i="14"/>
  <c r="P44" i="14"/>
  <c r="Y33" i="14"/>
  <c r="V33" i="14"/>
  <c r="P33" i="14"/>
  <c r="Y43" i="14"/>
  <c r="V43" i="14"/>
  <c r="P43" i="14"/>
  <c r="Y41" i="14"/>
  <c r="V41" i="14"/>
  <c r="P41" i="14"/>
  <c r="Y40" i="14"/>
  <c r="V40" i="14"/>
  <c r="P40" i="14"/>
  <c r="V35" i="14"/>
  <c r="Y35" i="14"/>
  <c r="P35" i="14"/>
  <c r="Y39" i="14"/>
  <c r="V39" i="14"/>
  <c r="P39" i="14"/>
  <c r="V37" i="14"/>
  <c r="Y37" i="14"/>
  <c r="P37" i="14"/>
  <c r="Y42" i="14"/>
  <c r="V42" i="14"/>
  <c r="P42" i="14"/>
  <c r="Y36" i="14"/>
  <c r="V36" i="14"/>
  <c r="P36" i="14"/>
  <c r="Y34" i="14"/>
  <c r="V34" i="14"/>
  <c r="P34" i="14"/>
  <c r="Y38" i="14"/>
  <c r="V38" i="14"/>
  <c r="P38" i="14"/>
  <c r="AK10" i="15"/>
  <c r="AL10" i="15" s="1"/>
  <c r="AM10" i="15" s="1"/>
  <c r="AF10" i="15"/>
  <c r="AG10" i="15" s="1"/>
  <c r="AH10" i="15" s="1"/>
  <c r="AA10" i="15"/>
  <c r="AB10" i="15" s="1"/>
  <c r="AC10" i="15" s="1"/>
  <c r="AK9" i="15"/>
  <c r="AL9" i="15" s="1"/>
  <c r="AM9" i="15" s="1"/>
  <c r="AF9" i="15"/>
  <c r="AG9" i="15" s="1"/>
  <c r="AH9" i="15" s="1"/>
  <c r="AA9" i="15"/>
  <c r="AB9" i="15" s="1"/>
  <c r="AC9" i="15" s="1"/>
  <c r="AF8" i="15"/>
  <c r="AG8" i="15" s="1"/>
  <c r="AH8" i="15" s="1"/>
  <c r="AK8" i="15"/>
  <c r="AL8" i="15" s="1"/>
  <c r="AM8" i="15" s="1"/>
  <c r="AA8" i="15"/>
  <c r="AB8" i="15" s="1"/>
  <c r="AC8" i="15" s="1"/>
  <c r="Q31" i="14"/>
  <c r="R31" i="14"/>
  <c r="R38" i="14"/>
  <c r="Q38" i="14"/>
  <c r="R37" i="14"/>
  <c r="Q37" i="14"/>
  <c r="Q44" i="14"/>
  <c r="R44" i="14"/>
  <c r="R34" i="14"/>
  <c r="Q34" i="14"/>
  <c r="Q33" i="14"/>
  <c r="R33" i="14"/>
  <c r="Q32" i="14"/>
  <c r="R32" i="14"/>
  <c r="R30" i="14"/>
  <c r="Q30" i="14"/>
  <c r="R45" i="14"/>
  <c r="Q45" i="14"/>
  <c r="R43" i="14"/>
  <c r="Q43" i="14"/>
  <c r="R42" i="14"/>
  <c r="Q42" i="14"/>
  <c r="R41" i="14"/>
  <c r="Q41" i="14"/>
  <c r="Q36" i="14"/>
  <c r="R36" i="14"/>
  <c r="Q40" i="14"/>
  <c r="R40" i="14"/>
  <c r="R35" i="14"/>
  <c r="Q35" i="14"/>
  <c r="R39" i="14"/>
  <c r="Q39" i="14"/>
  <c r="O26" i="5" l="1"/>
  <c r="O27" i="5" s="1"/>
  <c r="O28" i="5" s="1"/>
  <c r="O29" i="5" s="1"/>
  <c r="O30" i="5" s="1"/>
  <c r="O31" i="5" s="1"/>
  <c r="O32" i="5" s="1"/>
  <c r="O33" i="5" s="1"/>
  <c r="O34" i="5" s="1"/>
  <c r="O35" i="5" s="1"/>
  <c r="O36" i="5" s="1"/>
  <c r="O37" i="5" s="1"/>
  <c r="N21" i="5"/>
  <c r="M21" i="5"/>
  <c r="L21" i="5"/>
  <c r="P25" i="5"/>
  <c r="N25" i="5" l="1"/>
  <c r="L25" i="5"/>
  <c r="M25" i="5"/>
  <c r="O38" i="5"/>
  <c r="O39" i="5" s="1"/>
  <c r="O40" i="5" s="1"/>
  <c r="O41" i="5" s="1"/>
  <c r="O42" i="5" s="1"/>
  <c r="O43" i="5" s="1"/>
  <c r="O44" i="5" s="1"/>
  <c r="O45" i="5" s="1"/>
  <c r="O54" i="5" s="1"/>
  <c r="O55" i="5" s="1"/>
  <c r="O56" i="5" s="1"/>
  <c r="O57" i="5" s="1"/>
  <c r="O58" i="5" s="1"/>
  <c r="O59" i="5" s="1"/>
  <c r="O46" i="5"/>
  <c r="O47" i="5" s="1"/>
  <c r="O48" i="5" s="1"/>
  <c r="O49" i="5" s="1"/>
  <c r="O50" i="5" s="1"/>
  <c r="O51" i="5" s="1"/>
  <c r="O52" i="5" s="1"/>
  <c r="O53" i="5" s="1"/>
  <c r="P27" i="5"/>
  <c r="P26" i="5"/>
  <c r="N26" i="5" l="1"/>
  <c r="M26" i="5"/>
  <c r="L26" i="5"/>
  <c r="N27" i="5"/>
  <c r="L27" i="5"/>
  <c r="M27" i="5"/>
  <c r="O68" i="5"/>
  <c r="O69" i="5" s="1"/>
  <c r="O70" i="5" s="1"/>
  <c r="O71" i="5" s="1"/>
  <c r="O72" i="5" s="1"/>
  <c r="O73" i="5" s="1"/>
  <c r="O74" i="5" s="1"/>
  <c r="O75" i="5" s="1"/>
  <c r="O60" i="5"/>
  <c r="O61" i="5" s="1"/>
  <c r="O62" i="5" s="1"/>
  <c r="O63" i="5" s="1"/>
  <c r="O64" i="5" s="1"/>
  <c r="O65" i="5" s="1"/>
  <c r="O66" i="5" s="1"/>
  <c r="O67" i="5" s="1"/>
  <c r="O76" i="5" s="1"/>
  <c r="O77" i="5" s="1"/>
  <c r="O78" i="5" s="1"/>
  <c r="O79" i="5" s="1"/>
  <c r="O80" i="5" s="1"/>
  <c r="O81" i="5" s="1"/>
  <c r="O82" i="5" s="1"/>
  <c r="O83" i="5" s="1"/>
  <c r="O84" i="5" s="1"/>
  <c r="O85" i="5" s="1"/>
  <c r="O86" i="5" s="1"/>
  <c r="O87" i="5" s="1"/>
  <c r="O88" i="5" s="1"/>
  <c r="O89" i="5" s="1"/>
  <c r="O90" i="5" s="1"/>
  <c r="O91" i="5" s="1"/>
  <c r="O92" i="5" s="1"/>
  <c r="O93" i="5" s="1"/>
  <c r="O94" i="5" s="1"/>
  <c r="O95" i="5" s="1"/>
  <c r="O96" i="5" s="1"/>
  <c r="O97" i="5" s="1"/>
  <c r="O98" i="5" s="1"/>
  <c r="O99" i="5" s="1"/>
  <c r="O100" i="5" s="1"/>
  <c r="O101" i="5" s="1"/>
  <c r="O102" i="5" s="1"/>
  <c r="O103" i="5" s="1"/>
  <c r="O104" i="5" s="1"/>
  <c r="O105" i="5" s="1"/>
  <c r="O106" i="5" s="1"/>
  <c r="O107" i="5" s="1"/>
  <c r="O108" i="5" s="1"/>
  <c r="O109" i="5" s="1"/>
  <c r="O110" i="5" s="1"/>
  <c r="O111" i="5" s="1"/>
  <c r="O112" i="5" s="1"/>
  <c r="O113" i="5" s="1"/>
  <c r="O114" i="5" s="1"/>
  <c r="O115" i="5" s="1"/>
  <c r="O116" i="5" s="1"/>
  <c r="O117" i="5" s="1"/>
  <c r="O118" i="5" s="1"/>
  <c r="O119" i="5" s="1"/>
  <c r="O120" i="5" s="1"/>
  <c r="O121" i="5" s="1"/>
  <c r="O122" i="5" s="1"/>
  <c r="O123" i="5" s="1"/>
  <c r="O124" i="5" s="1"/>
  <c r="O125" i="5" s="1"/>
  <c r="O126" i="5" s="1"/>
  <c r="O127" i="5" s="1"/>
  <c r="O128" i="5" s="1"/>
  <c r="O129" i="5" s="1"/>
  <c r="O130" i="5" s="1"/>
  <c r="O131" i="5" s="1"/>
  <c r="O132" i="5" s="1"/>
  <c r="O133" i="5" s="1"/>
  <c r="O134" i="5" s="1"/>
  <c r="O135" i="5" s="1"/>
  <c r="O136" i="5" s="1"/>
  <c r="O137" i="5" s="1"/>
  <c r="O138" i="5" s="1"/>
  <c r="O139" i="5" s="1"/>
  <c r="O140" i="5" s="1"/>
  <c r="O141" i="5" s="1"/>
  <c r="O142" i="5" s="1"/>
  <c r="O143" i="5" s="1"/>
  <c r="O144" i="5" s="1"/>
  <c r="O145" i="5" s="1"/>
  <c r="O146" i="5" s="1"/>
  <c r="O147" i="5" s="1"/>
  <c r="O148" i="5" s="1"/>
  <c r="O149" i="5" s="1"/>
  <c r="O150" i="5" s="1"/>
  <c r="O151" i="5" s="1"/>
  <c r="O152" i="5" s="1"/>
  <c r="O153" i="5" s="1"/>
  <c r="O154" i="5" s="1"/>
  <c r="O155" i="5" s="1"/>
  <c r="O156" i="5" s="1"/>
  <c r="O157" i="5" s="1"/>
  <c r="O158" i="5" s="1"/>
  <c r="O159" i="5" s="1"/>
  <c r="O160" i="5" s="1"/>
  <c r="O161" i="5" s="1"/>
  <c r="O162" i="5" s="1"/>
  <c r="O163" i="5" s="1"/>
  <c r="O164" i="5" s="1"/>
  <c r="O165" i="5" s="1"/>
  <c r="O166" i="5" s="1"/>
  <c r="O167" i="5" s="1"/>
  <c r="O168" i="5" s="1"/>
  <c r="O169" i="5" s="1"/>
  <c r="O170" i="5" s="1"/>
  <c r="O171" i="5" s="1"/>
  <c r="O172" i="5" s="1"/>
  <c r="O173" i="5" s="1"/>
  <c r="O174" i="5" s="1"/>
  <c r="O175" i="5" s="1"/>
  <c r="O176" i="5" s="1"/>
  <c r="O177" i="5" s="1"/>
  <c r="O178" i="5" s="1"/>
  <c r="O179" i="5" s="1"/>
  <c r="O180" i="5" s="1"/>
  <c r="O181" i="5" s="1"/>
  <c r="O182" i="5" s="1"/>
  <c r="O183" i="5" s="1"/>
  <c r="O184" i="5" s="1"/>
  <c r="O185" i="5" s="1"/>
  <c r="O186" i="5" s="1"/>
  <c r="O187" i="5" s="1"/>
  <c r="O188" i="5" s="1"/>
  <c r="O189" i="5" s="1"/>
  <c r="O190" i="5" s="1"/>
  <c r="O191" i="5" s="1"/>
  <c r="O192" i="5" s="1"/>
  <c r="O193" i="5" s="1"/>
  <c r="O194" i="5" s="1"/>
  <c r="O195" i="5" s="1"/>
  <c r="O196" i="5" s="1"/>
  <c r="O197" i="5" s="1"/>
  <c r="O198" i="5" s="1"/>
  <c r="O199" i="5" s="1"/>
  <c r="O200" i="5" s="1"/>
  <c r="O201" i="5" s="1"/>
  <c r="O202" i="5" s="1"/>
  <c r="O203" i="5" s="1"/>
  <c r="O204" i="5" s="1"/>
  <c r="O205" i="5" s="1"/>
  <c r="O206" i="5" s="1"/>
  <c r="O207" i="5" s="1"/>
  <c r="O208" i="5" s="1"/>
  <c r="O209" i="5" s="1"/>
  <c r="O210" i="5" s="1"/>
  <c r="O211" i="5" s="1"/>
  <c r="O212" i="5" s="1"/>
  <c r="O213" i="5" s="1"/>
  <c r="O214" i="5" s="1"/>
  <c r="O215" i="5" s="1"/>
  <c r="O216" i="5" s="1"/>
  <c r="O217" i="5" s="1"/>
  <c r="O218" i="5" s="1"/>
  <c r="O219" i="5" s="1"/>
  <c r="O220" i="5" s="1"/>
  <c r="O221" i="5" s="1"/>
  <c r="O222" i="5" s="1"/>
  <c r="O223" i="5" s="1"/>
  <c r="O224" i="5" s="1"/>
  <c r="O225" i="5" s="1"/>
  <c r="O226" i="5" s="1"/>
  <c r="O227" i="5" s="1"/>
  <c r="O228" i="5" s="1"/>
  <c r="O229" i="5" s="1"/>
  <c r="O230" i="5" s="1"/>
  <c r="O231" i="5" s="1"/>
  <c r="O232" i="5" s="1"/>
  <c r="O233" i="5" s="1"/>
  <c r="O234" i="5" s="1"/>
  <c r="O235" i="5" s="1"/>
  <c r="O236" i="5" s="1"/>
  <c r="O237" i="5" s="1"/>
  <c r="O238" i="5" s="1"/>
  <c r="O239" i="5" s="1"/>
  <c r="O240" i="5" s="1"/>
  <c r="O241" i="5" s="1"/>
  <c r="O242" i="5" s="1"/>
  <c r="O243" i="5" s="1"/>
  <c r="O244" i="5" s="1"/>
  <c r="O245" i="5" s="1"/>
  <c r="O246" i="5" s="1"/>
  <c r="O247" i="5" s="1"/>
  <c r="O248" i="5" s="1"/>
  <c r="O249" i="5" s="1"/>
  <c r="O250" i="5" s="1"/>
  <c r="O251" i="5" s="1"/>
  <c r="O252" i="5" s="1"/>
  <c r="O253" i="5" s="1"/>
  <c r="O254" i="5" s="1"/>
  <c r="O255" i="5" s="1"/>
  <c r="O256" i="5" s="1"/>
  <c r="O257" i="5" s="1"/>
  <c r="O258" i="5" s="1"/>
  <c r="O259" i="5" s="1"/>
  <c r="O260" i="5" s="1"/>
  <c r="O261" i="5" s="1"/>
  <c r="O262" i="5" s="1"/>
  <c r="O263" i="5" s="1"/>
  <c r="O264" i="5" s="1"/>
  <c r="O265" i="5" s="1"/>
  <c r="O266" i="5" s="1"/>
  <c r="O267" i="5" s="1"/>
  <c r="O268" i="5" s="1"/>
  <c r="O269" i="5" s="1"/>
  <c r="O270" i="5" s="1"/>
  <c r="O271" i="5" s="1"/>
  <c r="O272" i="5" s="1"/>
  <c r="O273" i="5" s="1"/>
  <c r="O274" i="5" s="1"/>
  <c r="O275" i="5" s="1"/>
  <c r="O276" i="5" s="1"/>
  <c r="O277" i="5" s="1"/>
  <c r="O278" i="5" s="1"/>
  <c r="O279" i="5" s="1"/>
  <c r="O280" i="5" s="1"/>
  <c r="O281" i="5" s="1"/>
  <c r="O282" i="5" s="1"/>
  <c r="O283" i="5" s="1"/>
  <c r="O284" i="5" s="1"/>
  <c r="O285" i="5" s="1"/>
  <c r="O286" i="5" s="1"/>
  <c r="O287" i="5" s="1"/>
  <c r="O288" i="5" s="1"/>
  <c r="O289" i="5" s="1"/>
  <c r="O290" i="5" s="1"/>
  <c r="O291" i="5" s="1"/>
  <c r="O292" i="5" s="1"/>
  <c r="O293" i="5" s="1"/>
  <c r="O294" i="5" s="1"/>
  <c r="O295" i="5" s="1"/>
  <c r="O296" i="5" s="1"/>
  <c r="O297" i="5" s="1"/>
  <c r="O298" i="5" s="1"/>
  <c r="O299" i="5" s="1"/>
  <c r="O300" i="5" s="1"/>
  <c r="O301" i="5" s="1"/>
  <c r="O302" i="5" s="1"/>
  <c r="O303" i="5" s="1"/>
  <c r="O304" i="5" s="1"/>
  <c r="O305" i="5" s="1"/>
  <c r="O306" i="5" s="1"/>
  <c r="O307" i="5" s="1"/>
  <c r="O308" i="5" s="1"/>
  <c r="O309" i="5" s="1"/>
  <c r="O310" i="5" s="1"/>
  <c r="O311" i="5" s="1"/>
  <c r="O312" i="5" s="1"/>
  <c r="O313" i="5" s="1"/>
  <c r="O314" i="5" s="1"/>
  <c r="O315" i="5" s="1"/>
  <c r="O316" i="5" s="1"/>
  <c r="O317" i="5" s="1"/>
  <c r="O318" i="5" s="1"/>
  <c r="O319" i="5" s="1"/>
  <c r="O320" i="5" s="1"/>
  <c r="O321" i="5" s="1"/>
  <c r="O322" i="5" s="1"/>
  <c r="O323" i="5" s="1"/>
  <c r="O324" i="5" s="1"/>
  <c r="O325" i="5" s="1"/>
  <c r="O326" i="5" s="1"/>
  <c r="O327" i="5" s="1"/>
  <c r="O328" i="5" s="1"/>
  <c r="O329" i="5" s="1"/>
  <c r="O330" i="5" s="1"/>
  <c r="O331" i="5" s="1"/>
  <c r="O332" i="5" s="1"/>
  <c r="O333" i="5" s="1"/>
  <c r="O334" i="5" s="1"/>
  <c r="O335" i="5" s="1"/>
  <c r="O336" i="5" s="1"/>
  <c r="O337" i="5" s="1"/>
  <c r="O338" i="5" s="1"/>
  <c r="O339" i="5" s="1"/>
  <c r="O340" i="5" s="1"/>
  <c r="O341" i="5" s="1"/>
  <c r="O342" i="5" s="1"/>
  <c r="O343" i="5" s="1"/>
  <c r="O344" i="5" s="1"/>
  <c r="O345" i="5" s="1"/>
  <c r="O346" i="5" s="1"/>
  <c r="O347" i="5" s="1"/>
  <c r="O348" i="5" s="1"/>
  <c r="O349" i="5" s="1"/>
  <c r="O350" i="5" s="1"/>
  <c r="O351" i="5" s="1"/>
  <c r="O352" i="5" s="1"/>
  <c r="O353" i="5" s="1"/>
  <c r="O354" i="5" s="1"/>
  <c r="O355" i="5" s="1"/>
  <c r="O356" i="5" s="1"/>
  <c r="O357" i="5" s="1"/>
  <c r="O358" i="5" s="1"/>
  <c r="O359" i="5" s="1"/>
  <c r="O360" i="5" s="1"/>
  <c r="O361" i="5" s="1"/>
  <c r="O362" i="5" s="1"/>
  <c r="O363" i="5" s="1"/>
  <c r="O364" i="5" s="1"/>
  <c r="O365" i="5" s="1"/>
  <c r="O366" i="5" s="1"/>
  <c r="O367" i="5" s="1"/>
  <c r="O368" i="5" s="1"/>
  <c r="O369" i="5" s="1"/>
  <c r="O370" i="5" s="1"/>
  <c r="O371" i="5" s="1"/>
  <c r="O372" i="5" s="1"/>
  <c r="O373" i="5" s="1"/>
  <c r="O374" i="5" s="1"/>
  <c r="O375" i="5" s="1"/>
  <c r="O376" i="5" s="1"/>
  <c r="O377" i="5" s="1"/>
  <c r="O378" i="5" s="1"/>
  <c r="O379" i="5" s="1"/>
  <c r="O380" i="5" s="1"/>
  <c r="O381" i="5" s="1"/>
  <c r="O382" i="5" s="1"/>
  <c r="O383" i="5" s="1"/>
  <c r="O384" i="5" s="1"/>
  <c r="O385" i="5" s="1"/>
  <c r="O386" i="5" s="1"/>
  <c r="O387" i="5" s="1"/>
  <c r="O388" i="5" s="1"/>
  <c r="O389" i="5" s="1"/>
  <c r="O390" i="5" s="1"/>
  <c r="O391" i="5" s="1"/>
  <c r="O392" i="5" s="1"/>
  <c r="O393" i="5" s="1"/>
  <c r="O394" i="5" s="1"/>
  <c r="O395" i="5" s="1"/>
  <c r="O396" i="5" s="1"/>
  <c r="O397" i="5" s="1"/>
  <c r="O398" i="5" s="1"/>
  <c r="O399" i="5" s="1"/>
  <c r="O400" i="5" s="1"/>
  <c r="O401" i="5" s="1"/>
  <c r="O402" i="5" s="1"/>
  <c r="O403" i="5" s="1"/>
  <c r="O404" i="5" s="1"/>
  <c r="O405" i="5" s="1"/>
  <c r="O406" i="5" s="1"/>
  <c r="O407" i="5" s="1"/>
  <c r="O408" i="5" s="1"/>
  <c r="O409" i="5" s="1"/>
  <c r="O410" i="5" s="1"/>
  <c r="O411" i="5" s="1"/>
  <c r="O412" i="5" s="1"/>
  <c r="O413" i="5" s="1"/>
  <c r="O414" i="5" s="1"/>
  <c r="O415" i="5" s="1"/>
  <c r="O416" i="5" s="1"/>
  <c r="O417" i="5" s="1"/>
  <c r="O418" i="5" s="1"/>
  <c r="O419" i="5" s="1"/>
  <c r="O420" i="5" s="1"/>
  <c r="O421" i="5" s="1"/>
  <c r="O422" i="5" s="1"/>
  <c r="O423" i="5" s="1"/>
  <c r="O424" i="5" s="1"/>
  <c r="O425" i="5" s="1"/>
  <c r="O426" i="5" s="1"/>
  <c r="O427" i="5" s="1"/>
  <c r="O428" i="5" s="1"/>
  <c r="O429" i="5" s="1"/>
  <c r="O430" i="5" s="1"/>
  <c r="O431" i="5" s="1"/>
  <c r="O432" i="5" s="1"/>
  <c r="O433" i="5" s="1"/>
  <c r="O434" i="5" s="1"/>
  <c r="O435" i="5" s="1"/>
  <c r="O436" i="5" s="1"/>
  <c r="O437" i="5" s="1"/>
  <c r="O438" i="5" s="1"/>
  <c r="O439" i="5" s="1"/>
  <c r="O440" i="5" s="1"/>
  <c r="O441" i="5" s="1"/>
  <c r="O442" i="5" s="1"/>
  <c r="O443" i="5" s="1"/>
  <c r="O444" i="5" s="1"/>
  <c r="O445" i="5" s="1"/>
  <c r="O446" i="5" s="1"/>
  <c r="O447" i="5" s="1"/>
  <c r="O448" i="5" s="1"/>
  <c r="O449" i="5" s="1"/>
  <c r="O450" i="5" s="1"/>
  <c r="O451" i="5" s="1"/>
  <c r="O452" i="5" s="1"/>
  <c r="O453" i="5" s="1"/>
  <c r="O454" i="5" s="1"/>
  <c r="O455" i="5" s="1"/>
  <c r="O456" i="5" s="1"/>
  <c r="O457" i="5" s="1"/>
  <c r="O458" i="5" s="1"/>
  <c r="O459" i="5" s="1"/>
  <c r="O460" i="5" s="1"/>
  <c r="O461" i="5" s="1"/>
  <c r="O462" i="5" s="1"/>
  <c r="O463" i="5" s="1"/>
  <c r="O464" i="5" s="1"/>
  <c r="O465" i="5" s="1"/>
  <c r="O466" i="5" s="1"/>
  <c r="O467" i="5" s="1"/>
  <c r="O468" i="5" s="1"/>
  <c r="O469" i="5" s="1"/>
  <c r="O470" i="5" s="1"/>
  <c r="O471" i="5" s="1"/>
  <c r="O472" i="5" s="1"/>
  <c r="O473" i="5" s="1"/>
  <c r="O474" i="5" s="1"/>
  <c r="O475" i="5" s="1"/>
  <c r="O476" i="5" s="1"/>
  <c r="O477" i="5" s="1"/>
  <c r="O478" i="5" s="1"/>
  <c r="O479" i="5" s="1"/>
  <c r="O480" i="5" s="1"/>
  <c r="O481" i="5" s="1"/>
  <c r="O482" i="5" s="1"/>
  <c r="O483" i="5" s="1"/>
  <c r="O484" i="5" s="1"/>
  <c r="O485" i="5" s="1"/>
  <c r="O486" i="5" s="1"/>
  <c r="O487" i="5" s="1"/>
  <c r="O488" i="5" s="1"/>
  <c r="O489" i="5" s="1"/>
  <c r="O490" i="5" s="1"/>
  <c r="O491" i="5" s="1"/>
  <c r="O492" i="5" s="1"/>
  <c r="O493" i="5" s="1"/>
  <c r="O494" i="5" s="1"/>
  <c r="O495" i="5" s="1"/>
  <c r="O496" i="5" s="1"/>
  <c r="O497" i="5" s="1"/>
  <c r="O498" i="5" s="1"/>
  <c r="O499" i="5" s="1"/>
  <c r="O500" i="5" s="1"/>
  <c r="O501" i="5" s="1"/>
  <c r="O502" i="5" s="1"/>
  <c r="O503" i="5" s="1"/>
  <c r="O504" i="5" s="1"/>
  <c r="O505" i="5" s="1"/>
  <c r="O506" i="5" s="1"/>
  <c r="O507" i="5" s="1"/>
  <c r="O508" i="5" s="1"/>
  <c r="O509" i="5" s="1"/>
  <c r="O510" i="5" s="1"/>
  <c r="O511" i="5" s="1"/>
  <c r="O512" i="5" s="1"/>
  <c r="O513" i="5" s="1"/>
  <c r="O514" i="5" s="1"/>
  <c r="O515" i="5" s="1"/>
  <c r="O516" i="5" s="1"/>
  <c r="O517" i="5" s="1"/>
  <c r="O518" i="5" s="1"/>
  <c r="O519" i="5" s="1"/>
  <c r="O520" i="5" s="1"/>
  <c r="O521" i="5" s="1"/>
  <c r="O522" i="5" s="1"/>
  <c r="O523" i="5" s="1"/>
  <c r="O524" i="5" s="1"/>
  <c r="O525" i="5" s="1"/>
  <c r="O526" i="5" s="1"/>
  <c r="O527" i="5" s="1"/>
  <c r="O528" i="5" s="1"/>
  <c r="O529" i="5" s="1"/>
  <c r="O530" i="5" s="1"/>
  <c r="O531" i="5" s="1"/>
  <c r="O532" i="5" s="1"/>
  <c r="O533" i="5" s="1"/>
  <c r="O534" i="5" s="1"/>
  <c r="O535" i="5" s="1"/>
  <c r="O536" i="5" s="1"/>
  <c r="O537" i="5" s="1"/>
  <c r="O538" i="5" s="1"/>
  <c r="O539" i="5" s="1"/>
  <c r="O540" i="5" s="1"/>
  <c r="O541" i="5" s="1"/>
  <c r="O542" i="5" s="1"/>
  <c r="O543" i="5" s="1"/>
  <c r="O544" i="5" s="1"/>
  <c r="O545" i="5" s="1"/>
  <c r="O546" i="5" s="1"/>
  <c r="O547" i="5" s="1"/>
  <c r="O548" i="5" s="1"/>
  <c r="O549" i="5" s="1"/>
  <c r="O550" i="5" s="1"/>
  <c r="O551" i="5" s="1"/>
  <c r="O552" i="5" s="1"/>
  <c r="O553" i="5" s="1"/>
  <c r="O554" i="5" s="1"/>
  <c r="O555" i="5" s="1"/>
  <c r="O556" i="5" s="1"/>
  <c r="O557" i="5" s="1"/>
  <c r="O558" i="5" s="1"/>
  <c r="O559" i="5" s="1"/>
  <c r="O560" i="5" s="1"/>
  <c r="O561" i="5" s="1"/>
  <c r="O562" i="5" s="1"/>
  <c r="O563" i="5" s="1"/>
  <c r="O564" i="5" s="1"/>
  <c r="O565" i="5" s="1"/>
  <c r="O566" i="5" s="1"/>
  <c r="O567" i="5" s="1"/>
  <c r="O568" i="5" s="1"/>
  <c r="O569" i="5" s="1"/>
  <c r="O570" i="5" s="1"/>
  <c r="O571" i="5" s="1"/>
  <c r="O572" i="5" s="1"/>
  <c r="O573" i="5" s="1"/>
  <c r="O574" i="5" s="1"/>
  <c r="O575" i="5" s="1"/>
  <c r="O576" i="5" s="1"/>
  <c r="O577" i="5" s="1"/>
  <c r="O578" i="5" s="1"/>
  <c r="O579" i="5" s="1"/>
  <c r="O580" i="5" s="1"/>
  <c r="O581" i="5" s="1"/>
  <c r="O582" i="5" s="1"/>
  <c r="O583" i="5" s="1"/>
  <c r="O584" i="5" s="1"/>
  <c r="O585" i="5" s="1"/>
  <c r="O586" i="5" s="1"/>
  <c r="O587" i="5" s="1"/>
  <c r="O588" i="5" s="1"/>
  <c r="O589" i="5" s="1"/>
  <c r="O590" i="5" s="1"/>
  <c r="O591" i="5" s="1"/>
  <c r="O592" i="5" s="1"/>
  <c r="O593" i="5" s="1"/>
  <c r="O594" i="5" s="1"/>
  <c r="O595" i="5" s="1"/>
  <c r="O596" i="5" s="1"/>
  <c r="O597" i="5" s="1"/>
  <c r="O598" i="5" s="1"/>
  <c r="O599" i="5" s="1"/>
  <c r="O600" i="5" s="1"/>
  <c r="O601" i="5" s="1"/>
  <c r="O602" i="5" s="1"/>
  <c r="O603" i="5" s="1"/>
  <c r="O604" i="5" s="1"/>
  <c r="O605" i="5" s="1"/>
  <c r="O606" i="5" s="1"/>
  <c r="O607" i="5" s="1"/>
  <c r="O608" i="5" s="1"/>
  <c r="O609" i="5" s="1"/>
  <c r="O610" i="5" s="1"/>
  <c r="O611" i="5" s="1"/>
  <c r="O612" i="5" s="1"/>
  <c r="O613" i="5" s="1"/>
  <c r="O614" i="5" s="1"/>
  <c r="O615" i="5" s="1"/>
  <c r="O616" i="5" s="1"/>
  <c r="O617" i="5" s="1"/>
  <c r="O618" i="5" s="1"/>
  <c r="O619" i="5" s="1"/>
  <c r="O620" i="5" s="1"/>
  <c r="O621" i="5" s="1"/>
  <c r="O622" i="5" s="1"/>
  <c r="O623" i="5" s="1"/>
  <c r="O624" i="5" s="1"/>
  <c r="O625" i="5" s="1"/>
  <c r="O626" i="5" s="1"/>
  <c r="O627" i="5" s="1"/>
  <c r="O628" i="5" s="1"/>
  <c r="O629" i="5" s="1"/>
  <c r="O630" i="5" s="1"/>
  <c r="O631" i="5" s="1"/>
  <c r="O632" i="5" s="1"/>
  <c r="O633" i="5" s="1"/>
  <c r="O634" i="5" s="1"/>
  <c r="O635" i="5" s="1"/>
  <c r="O636" i="5" s="1"/>
  <c r="O637" i="5" s="1"/>
  <c r="O638" i="5" s="1"/>
  <c r="O639" i="5" s="1"/>
  <c r="P28" i="5"/>
  <c r="N28" i="5" l="1"/>
  <c r="L28" i="5"/>
  <c r="M28" i="5"/>
  <c r="P29" i="5"/>
  <c r="M29" i="5" l="1"/>
  <c r="N29" i="5"/>
  <c r="L29" i="5"/>
  <c r="P30" i="5"/>
  <c r="N30" i="5" l="1"/>
  <c r="L30" i="5"/>
  <c r="M30" i="5"/>
  <c r="P31" i="5"/>
  <c r="N31" i="5" l="1"/>
  <c r="M31" i="5"/>
  <c r="L31" i="5"/>
  <c r="P32" i="5"/>
  <c r="N32" i="5" l="1"/>
  <c r="M32" i="5"/>
  <c r="L32" i="5"/>
  <c r="P33" i="5"/>
  <c r="N33" i="5" l="1"/>
  <c r="M33" i="5"/>
  <c r="L33" i="5"/>
  <c r="P34" i="5"/>
  <c r="N34" i="5" l="1"/>
  <c r="M34" i="5"/>
  <c r="L34" i="5"/>
  <c r="P35" i="5"/>
  <c r="N35" i="5" l="1"/>
  <c r="M35" i="5"/>
  <c r="L35" i="5"/>
  <c r="P36" i="5"/>
  <c r="N36" i="5" l="1"/>
  <c r="M36" i="5"/>
  <c r="L36" i="5"/>
  <c r="P37" i="5"/>
  <c r="N37" i="5" l="1"/>
  <c r="L37" i="5"/>
  <c r="M37" i="5"/>
  <c r="P38" i="5"/>
  <c r="P46" i="5"/>
  <c r="M46" i="5" l="1"/>
  <c r="N46" i="5"/>
  <c r="L46" i="5"/>
  <c r="N38" i="5"/>
  <c r="M38" i="5"/>
  <c r="L38" i="5"/>
  <c r="P47" i="5"/>
  <c r="P39" i="5"/>
  <c r="N39" i="5" l="1"/>
  <c r="M39" i="5"/>
  <c r="L39" i="5"/>
  <c r="N47" i="5"/>
  <c r="L47" i="5"/>
  <c r="M47" i="5"/>
  <c r="P40" i="5"/>
  <c r="P48" i="5"/>
  <c r="M40" i="5" l="1"/>
  <c r="N40" i="5"/>
  <c r="L40" i="5"/>
  <c r="N48" i="5"/>
  <c r="L48" i="5"/>
  <c r="M48" i="5"/>
  <c r="P41" i="5"/>
  <c r="P49" i="5"/>
  <c r="N49" i="5" l="1"/>
  <c r="M49" i="5"/>
  <c r="L49" i="5"/>
  <c r="M41" i="5"/>
  <c r="L41" i="5"/>
  <c r="N41" i="5"/>
  <c r="P42" i="5"/>
  <c r="P50" i="5"/>
  <c r="N50" i="5" l="1"/>
  <c r="M50" i="5"/>
  <c r="L50" i="5"/>
  <c r="M42" i="5"/>
  <c r="L42" i="5"/>
  <c r="N42" i="5"/>
  <c r="P43" i="5"/>
  <c r="P51" i="5"/>
  <c r="M51" i="5" l="1"/>
  <c r="N51" i="5"/>
  <c r="L51" i="5"/>
  <c r="N43" i="5"/>
  <c r="M43" i="5"/>
  <c r="L43" i="5"/>
  <c r="P44" i="5"/>
  <c r="P52" i="5"/>
  <c r="P53" i="5"/>
  <c r="M53" i="5" l="1"/>
  <c r="L53" i="5"/>
  <c r="N53" i="5"/>
  <c r="M52" i="5"/>
  <c r="L52" i="5"/>
  <c r="N52" i="5"/>
  <c r="N44" i="5"/>
  <c r="M44" i="5"/>
  <c r="L44" i="5"/>
  <c r="P45" i="5"/>
  <c r="M45" i="5" l="1"/>
  <c r="N45" i="5"/>
  <c r="L45" i="5"/>
  <c r="P54" i="5"/>
  <c r="L54" i="5" l="1"/>
  <c r="N54" i="5"/>
  <c r="M54" i="5"/>
  <c r="P55" i="5"/>
  <c r="N55" i="5" l="1"/>
  <c r="M55" i="5"/>
  <c r="L55" i="5"/>
  <c r="P56" i="5"/>
  <c r="N56" i="5" l="1"/>
  <c r="M56" i="5"/>
  <c r="L56" i="5"/>
  <c r="P57" i="5"/>
  <c r="M57" i="5" l="1"/>
  <c r="N57" i="5"/>
  <c r="L57" i="5"/>
  <c r="P58" i="5"/>
  <c r="M58" i="5" l="1"/>
  <c r="N58" i="5"/>
  <c r="L58" i="5"/>
  <c r="P59" i="5"/>
  <c r="N59" i="5" l="1"/>
  <c r="L59" i="5"/>
  <c r="M59" i="5"/>
  <c r="P68" i="5"/>
  <c r="P60" i="5"/>
  <c r="N60" i="5" l="1"/>
  <c r="L60" i="5"/>
  <c r="M60" i="5"/>
  <c r="N68" i="5"/>
  <c r="M68" i="5"/>
  <c r="L68" i="5"/>
  <c r="P69" i="5"/>
  <c r="P61" i="5"/>
  <c r="N61" i="5" l="1"/>
  <c r="M61" i="5"/>
  <c r="L61" i="5"/>
  <c r="M69" i="5"/>
  <c r="N69" i="5"/>
  <c r="L69" i="5"/>
  <c r="P62" i="5"/>
  <c r="P70" i="5"/>
  <c r="M70" i="5" l="1"/>
  <c r="N70" i="5"/>
  <c r="L70" i="5"/>
  <c r="M62" i="5"/>
  <c r="N62" i="5"/>
  <c r="L62" i="5"/>
  <c r="P71" i="5"/>
  <c r="P63" i="5"/>
  <c r="N63" i="5" l="1"/>
  <c r="L63" i="5"/>
  <c r="M63" i="5"/>
  <c r="N71" i="5"/>
  <c r="M71" i="5"/>
  <c r="L71" i="5"/>
  <c r="P64" i="5"/>
  <c r="P72" i="5"/>
  <c r="N72" i="5" l="1"/>
  <c r="M72" i="5"/>
  <c r="L72" i="5"/>
  <c r="N64" i="5"/>
  <c r="L64" i="5"/>
  <c r="M64" i="5"/>
  <c r="P65" i="5"/>
  <c r="P73" i="5"/>
  <c r="N73" i="5" l="1"/>
  <c r="L73" i="5"/>
  <c r="M73" i="5"/>
  <c r="M65" i="5"/>
  <c r="N65" i="5"/>
  <c r="L65" i="5"/>
  <c r="P75" i="5"/>
  <c r="P74" i="5"/>
  <c r="P66" i="5"/>
  <c r="M74" i="5" l="1"/>
  <c r="N74" i="5"/>
  <c r="L74" i="5"/>
  <c r="N75" i="5"/>
  <c r="M75" i="5"/>
  <c r="L75" i="5"/>
  <c r="N66" i="5"/>
  <c r="L66" i="5"/>
  <c r="M66" i="5"/>
  <c r="P67" i="5"/>
  <c r="N67" i="5" l="1"/>
  <c r="M67" i="5"/>
  <c r="L67" i="5"/>
  <c r="P76" i="5"/>
  <c r="N76" i="5" l="1"/>
  <c r="M76" i="5"/>
  <c r="L76" i="5"/>
  <c r="P77" i="5"/>
  <c r="M77" i="5" l="1"/>
  <c r="L77" i="5"/>
  <c r="N77" i="5"/>
  <c r="P78" i="5"/>
  <c r="M78" i="5" l="1"/>
  <c r="L78" i="5"/>
  <c r="N78" i="5"/>
  <c r="P79" i="5"/>
  <c r="N79" i="5" l="1"/>
  <c r="M79" i="5"/>
  <c r="L79" i="5"/>
  <c r="P80" i="5"/>
  <c r="N80" i="5" l="1"/>
  <c r="M80" i="5"/>
  <c r="L80" i="5"/>
  <c r="P81" i="5"/>
  <c r="M81" i="5" l="1"/>
  <c r="L81" i="5"/>
  <c r="N81" i="5"/>
  <c r="P82" i="5"/>
  <c r="M82" i="5" l="1"/>
  <c r="L82" i="5"/>
  <c r="N82" i="5"/>
  <c r="P83" i="5"/>
  <c r="N83" i="5" l="1"/>
  <c r="L83" i="5"/>
  <c r="M83" i="5"/>
  <c r="P84" i="5"/>
  <c r="N84" i="5" l="1"/>
  <c r="L84" i="5"/>
  <c r="M84" i="5"/>
  <c r="P85" i="5"/>
  <c r="N85" i="5" l="1"/>
  <c r="M85" i="5"/>
  <c r="L85" i="5"/>
  <c r="P86" i="5"/>
  <c r="M86" i="5" l="1"/>
  <c r="N86" i="5"/>
  <c r="L86" i="5"/>
  <c r="P87" i="5"/>
  <c r="N87" i="5" l="1"/>
  <c r="M87" i="5"/>
  <c r="L87" i="5"/>
  <c r="P88" i="5"/>
  <c r="N88" i="5" l="1"/>
  <c r="M88" i="5"/>
  <c r="L88" i="5"/>
  <c r="P89" i="5"/>
  <c r="M89" i="5" l="1"/>
  <c r="L89" i="5"/>
  <c r="N89" i="5"/>
  <c r="P90" i="5"/>
  <c r="L90" i="5" l="1"/>
  <c r="N90" i="5"/>
  <c r="M90" i="5"/>
  <c r="P91" i="5"/>
  <c r="N91" i="5" l="1"/>
  <c r="M91" i="5"/>
  <c r="L91" i="5"/>
  <c r="P92" i="5"/>
  <c r="N92" i="5" l="1"/>
  <c r="M92" i="5"/>
  <c r="L92" i="5"/>
  <c r="P93" i="5"/>
  <c r="M93" i="5" l="1"/>
  <c r="N93" i="5"/>
  <c r="L93" i="5"/>
  <c r="P94" i="5"/>
  <c r="M94" i="5" l="1"/>
  <c r="N94" i="5"/>
  <c r="L94" i="5"/>
  <c r="P95" i="5"/>
  <c r="N95" i="5" l="1"/>
  <c r="L95" i="5"/>
  <c r="M95" i="5"/>
  <c r="P96" i="5"/>
  <c r="N96" i="5" l="1"/>
  <c r="L96" i="5"/>
  <c r="M96" i="5"/>
  <c r="P97" i="5"/>
  <c r="N97" i="5" l="1"/>
  <c r="M97" i="5"/>
  <c r="L97" i="5"/>
  <c r="P98" i="5"/>
  <c r="M98" i="5" l="1"/>
  <c r="N98" i="5"/>
  <c r="L98" i="5"/>
  <c r="P99" i="5"/>
  <c r="N99" i="5" l="1"/>
  <c r="L99" i="5"/>
  <c r="M99" i="5"/>
  <c r="P100" i="5"/>
  <c r="N100" i="5" l="1"/>
  <c r="L100" i="5"/>
  <c r="M100" i="5"/>
  <c r="P101" i="5"/>
  <c r="M101" i="5" l="1"/>
  <c r="L101" i="5"/>
  <c r="N101" i="5"/>
  <c r="P102" i="5"/>
  <c r="L102" i="5" l="1"/>
  <c r="N102" i="5"/>
  <c r="M102" i="5"/>
  <c r="P103" i="5"/>
  <c r="N103" i="5" l="1"/>
  <c r="M103" i="5"/>
  <c r="L103" i="5"/>
  <c r="P104" i="5"/>
  <c r="N104" i="5" l="1"/>
  <c r="M104" i="5"/>
  <c r="L104" i="5"/>
  <c r="P105" i="5"/>
  <c r="M105" i="5" l="1"/>
  <c r="N105" i="5"/>
  <c r="L105" i="5"/>
  <c r="P106" i="5"/>
  <c r="M106" i="5" l="1"/>
  <c r="N106" i="5"/>
  <c r="L106" i="5"/>
  <c r="P107" i="5"/>
  <c r="N107" i="5" l="1"/>
  <c r="M107" i="5"/>
  <c r="L107" i="5"/>
  <c r="P108" i="5"/>
  <c r="N108" i="5" l="1"/>
  <c r="M108" i="5"/>
  <c r="L108" i="5"/>
  <c r="P109" i="5"/>
  <c r="N109" i="5" l="1"/>
  <c r="L109" i="5"/>
  <c r="M109" i="5"/>
  <c r="P110" i="5"/>
  <c r="N110" i="5" l="1"/>
  <c r="M110" i="5"/>
  <c r="L110" i="5"/>
  <c r="P111" i="5"/>
  <c r="N111" i="5" l="1"/>
  <c r="M111" i="5"/>
  <c r="L111" i="5"/>
  <c r="P112" i="5"/>
  <c r="M112" i="5" l="1"/>
  <c r="L112" i="5"/>
  <c r="N112" i="5"/>
  <c r="P113" i="5"/>
  <c r="M113" i="5" l="1"/>
  <c r="L113" i="5"/>
  <c r="N113" i="5"/>
  <c r="P114" i="5"/>
  <c r="M114" i="5" l="1"/>
  <c r="L114" i="5"/>
  <c r="N114" i="5"/>
  <c r="P115" i="5"/>
  <c r="N115" i="5" l="1"/>
  <c r="M115" i="5"/>
  <c r="L115" i="5"/>
  <c r="P116" i="5"/>
  <c r="N116" i="5" l="1"/>
  <c r="M116" i="5"/>
  <c r="L116" i="5"/>
  <c r="P117" i="5"/>
  <c r="M117" i="5" l="1"/>
  <c r="N117" i="5"/>
  <c r="L117" i="5"/>
  <c r="P118" i="5"/>
  <c r="M118" i="5" l="1"/>
  <c r="N118" i="5"/>
  <c r="L118" i="5"/>
  <c r="P119" i="5"/>
  <c r="N119" i="5" l="1"/>
  <c r="L119" i="5"/>
  <c r="M119" i="5"/>
  <c r="P120" i="5"/>
  <c r="N120" i="5" l="1"/>
  <c r="L120" i="5"/>
  <c r="M120" i="5"/>
  <c r="P121" i="5"/>
  <c r="N121" i="5" l="1"/>
  <c r="M121" i="5"/>
  <c r="L121" i="5"/>
  <c r="P122" i="5"/>
  <c r="M122" i="5" l="1"/>
  <c r="N122" i="5"/>
  <c r="L122" i="5"/>
  <c r="P123" i="5"/>
  <c r="M123" i="5" l="1"/>
  <c r="N123" i="5"/>
  <c r="L123" i="5"/>
  <c r="P124" i="5"/>
  <c r="M124" i="5" l="1"/>
  <c r="N124" i="5"/>
  <c r="L124" i="5"/>
  <c r="P125" i="5"/>
  <c r="M125" i="5" l="1"/>
  <c r="L125" i="5"/>
  <c r="N125" i="5"/>
  <c r="P126" i="5"/>
  <c r="N126" i="5" l="1"/>
  <c r="L126" i="5"/>
  <c r="M126" i="5"/>
  <c r="P127" i="5"/>
  <c r="N127" i="5" l="1"/>
  <c r="M127" i="5"/>
  <c r="L127" i="5"/>
  <c r="P128" i="5"/>
  <c r="N128" i="5" l="1"/>
  <c r="M128" i="5"/>
  <c r="L128" i="5"/>
  <c r="P129" i="5"/>
  <c r="M129" i="5" l="1"/>
  <c r="N129" i="5"/>
  <c r="L129" i="5"/>
  <c r="P130" i="5"/>
  <c r="M130" i="5" l="1"/>
  <c r="N130" i="5"/>
  <c r="L130" i="5"/>
  <c r="P131" i="5"/>
  <c r="N131" i="5" l="1"/>
  <c r="L131" i="5"/>
  <c r="M131" i="5"/>
  <c r="P132" i="5"/>
  <c r="N132" i="5" l="1"/>
  <c r="L132" i="5"/>
  <c r="M132" i="5"/>
  <c r="P133" i="5"/>
  <c r="N133" i="5" l="1"/>
  <c r="M133" i="5"/>
  <c r="L133" i="5"/>
  <c r="P134" i="5"/>
  <c r="M134" i="5" l="1"/>
  <c r="N134" i="5"/>
  <c r="L134" i="5"/>
  <c r="P135" i="5"/>
  <c r="L135" i="5" l="1"/>
  <c r="N135" i="5"/>
  <c r="M135" i="5"/>
  <c r="P136" i="5"/>
  <c r="N136" i="5" l="1"/>
  <c r="L136" i="5"/>
  <c r="M136" i="5"/>
  <c r="P137" i="5"/>
  <c r="M137" i="5" l="1"/>
  <c r="L137" i="5"/>
  <c r="N137" i="5"/>
  <c r="P138" i="5"/>
  <c r="N138" i="5" l="1"/>
  <c r="M138" i="5"/>
  <c r="L138" i="5"/>
  <c r="P139" i="5"/>
  <c r="N139" i="5" l="1"/>
  <c r="M139" i="5"/>
  <c r="L139" i="5"/>
  <c r="P140" i="5"/>
  <c r="N140" i="5" l="1"/>
  <c r="M140" i="5"/>
  <c r="L140" i="5"/>
  <c r="P141" i="5"/>
  <c r="M141" i="5" l="1"/>
  <c r="N141" i="5"/>
  <c r="L141" i="5"/>
  <c r="P142" i="5"/>
  <c r="M142" i="5" l="1"/>
  <c r="L142" i="5"/>
  <c r="N142" i="5"/>
  <c r="P143" i="5"/>
  <c r="N143" i="5" l="1"/>
  <c r="M143" i="5"/>
  <c r="L143" i="5"/>
  <c r="P144" i="5"/>
  <c r="N144" i="5" l="1"/>
  <c r="M144" i="5"/>
  <c r="L144" i="5"/>
  <c r="P145" i="5"/>
  <c r="N145" i="5" l="1"/>
  <c r="M145" i="5"/>
  <c r="L145" i="5"/>
  <c r="P146" i="5"/>
  <c r="M146" i="5" l="1"/>
  <c r="N146" i="5"/>
  <c r="L146" i="5"/>
  <c r="P147" i="5"/>
  <c r="N147" i="5" l="1"/>
  <c r="M147" i="5"/>
  <c r="L147" i="5"/>
  <c r="P148" i="5"/>
  <c r="N148" i="5" l="1"/>
  <c r="M148" i="5"/>
  <c r="L148" i="5"/>
  <c r="P149" i="5"/>
  <c r="M149" i="5" l="1"/>
  <c r="L149" i="5"/>
  <c r="N149" i="5"/>
  <c r="P150" i="5"/>
  <c r="M150" i="5" l="1"/>
  <c r="N150" i="5"/>
  <c r="L150" i="5"/>
  <c r="P151" i="5"/>
  <c r="N151" i="5" l="1"/>
  <c r="M151" i="5"/>
  <c r="L151" i="5"/>
  <c r="P152" i="5"/>
  <c r="N152" i="5" l="1"/>
  <c r="M152" i="5"/>
  <c r="L152" i="5"/>
  <c r="P153" i="5"/>
  <c r="M153" i="5" l="1"/>
  <c r="N153" i="5"/>
  <c r="L153" i="5"/>
  <c r="P154" i="5"/>
  <c r="M154" i="5" l="1"/>
  <c r="N154" i="5"/>
  <c r="L154" i="5"/>
  <c r="P155" i="5"/>
  <c r="N155" i="5" l="1"/>
  <c r="L155" i="5"/>
  <c r="M155" i="5"/>
  <c r="P156" i="5"/>
  <c r="N156" i="5" l="1"/>
  <c r="L156" i="5"/>
  <c r="M156" i="5"/>
  <c r="P157" i="5"/>
  <c r="N157" i="5" l="1"/>
  <c r="L157" i="5"/>
  <c r="M157" i="5"/>
  <c r="P158" i="5"/>
  <c r="N158" i="5" l="1"/>
  <c r="M158" i="5"/>
  <c r="L158" i="5"/>
  <c r="P159" i="5"/>
  <c r="N159" i="5" l="1"/>
  <c r="M159" i="5"/>
  <c r="L159" i="5"/>
  <c r="P160" i="5"/>
  <c r="N160" i="5" l="1"/>
  <c r="M160" i="5"/>
  <c r="L160" i="5"/>
  <c r="P161" i="5"/>
  <c r="M161" i="5" l="1"/>
  <c r="L161" i="5"/>
  <c r="N161" i="5"/>
  <c r="P162" i="5"/>
  <c r="M162" i="5" l="1"/>
  <c r="N162" i="5"/>
  <c r="L162" i="5"/>
  <c r="P163" i="5"/>
  <c r="N163" i="5" l="1"/>
  <c r="M163" i="5"/>
  <c r="L163" i="5"/>
  <c r="P164" i="5"/>
  <c r="N164" i="5" l="1"/>
  <c r="M164" i="5"/>
  <c r="L164" i="5"/>
  <c r="P165" i="5"/>
  <c r="M165" i="5" l="1"/>
  <c r="L165" i="5"/>
  <c r="N165" i="5"/>
  <c r="P166" i="5"/>
  <c r="M166" i="5" l="1"/>
  <c r="N166" i="5"/>
  <c r="L166" i="5"/>
  <c r="P167" i="5"/>
  <c r="N167" i="5" l="1"/>
  <c r="L167" i="5"/>
  <c r="M167" i="5"/>
  <c r="P168" i="5"/>
  <c r="N168" i="5" l="1"/>
  <c r="M168" i="5"/>
  <c r="L168" i="5"/>
  <c r="P169" i="5"/>
  <c r="N169" i="5" l="1"/>
  <c r="M169" i="5"/>
  <c r="L169" i="5"/>
  <c r="P170" i="5"/>
  <c r="N170" i="5" l="1"/>
  <c r="M170" i="5"/>
  <c r="L170" i="5"/>
  <c r="P171" i="5"/>
  <c r="N171" i="5" l="1"/>
  <c r="L171" i="5"/>
  <c r="M171" i="5"/>
  <c r="P172" i="5"/>
  <c r="N172" i="5" l="1"/>
  <c r="L172" i="5"/>
  <c r="M172" i="5"/>
  <c r="P173" i="5"/>
  <c r="M173" i="5" l="1"/>
  <c r="L173" i="5"/>
  <c r="N173" i="5"/>
  <c r="P174" i="5"/>
  <c r="L174" i="5" l="1"/>
  <c r="N174" i="5"/>
  <c r="M174" i="5"/>
  <c r="P175" i="5"/>
  <c r="N175" i="5" l="1"/>
  <c r="M175" i="5"/>
  <c r="L175" i="5"/>
  <c r="P176" i="5"/>
  <c r="N176" i="5" l="1"/>
  <c r="M176" i="5"/>
  <c r="L176" i="5"/>
  <c r="P177" i="5"/>
  <c r="M177" i="5" l="1"/>
  <c r="N177" i="5"/>
  <c r="L177" i="5"/>
  <c r="P178" i="5"/>
  <c r="M178" i="5" l="1"/>
  <c r="N178" i="5"/>
  <c r="L178" i="5"/>
  <c r="P179" i="5"/>
  <c r="N179" i="5" l="1"/>
  <c r="M179" i="5"/>
  <c r="L179" i="5"/>
  <c r="P180" i="5"/>
  <c r="N180" i="5" l="1"/>
  <c r="M180" i="5"/>
  <c r="L180" i="5"/>
  <c r="P181" i="5"/>
  <c r="N181" i="5" l="1"/>
  <c r="M181" i="5"/>
  <c r="L181" i="5"/>
  <c r="P182" i="5"/>
  <c r="N182" i="5" l="1"/>
  <c r="M182" i="5"/>
  <c r="L182" i="5"/>
  <c r="P183" i="5"/>
  <c r="N183" i="5" l="1"/>
  <c r="M183" i="5"/>
  <c r="L183" i="5"/>
  <c r="P184" i="5"/>
  <c r="M184" i="5" l="1"/>
  <c r="L184" i="5"/>
  <c r="N184" i="5"/>
  <c r="P185" i="5"/>
  <c r="M185" i="5" l="1"/>
  <c r="L185" i="5"/>
  <c r="N185" i="5"/>
  <c r="P186" i="5"/>
  <c r="M186" i="5" l="1"/>
  <c r="N186" i="5"/>
  <c r="L186" i="5"/>
  <c r="P187" i="5"/>
  <c r="N187" i="5" l="1"/>
  <c r="M187" i="5"/>
  <c r="L187" i="5"/>
  <c r="P188" i="5"/>
  <c r="N188" i="5" l="1"/>
  <c r="M188" i="5"/>
  <c r="L188" i="5"/>
  <c r="P189" i="5"/>
  <c r="M189" i="5" l="1"/>
  <c r="N189" i="5"/>
  <c r="L189" i="5"/>
  <c r="P190" i="5"/>
  <c r="M190" i="5" l="1"/>
  <c r="N190" i="5"/>
  <c r="L190" i="5"/>
  <c r="P191" i="5"/>
  <c r="N191" i="5" l="1"/>
  <c r="L191" i="5"/>
  <c r="M191" i="5"/>
  <c r="P192" i="5"/>
  <c r="N192" i="5" l="1"/>
  <c r="L192" i="5"/>
  <c r="M192" i="5"/>
  <c r="P193" i="5"/>
  <c r="N193" i="5" l="1"/>
  <c r="L193" i="5"/>
  <c r="M193" i="5"/>
  <c r="P194" i="5"/>
  <c r="N194" i="5" l="1"/>
  <c r="M194" i="5"/>
  <c r="L194" i="5"/>
  <c r="P195" i="5"/>
  <c r="M195" i="5" l="1"/>
  <c r="N195" i="5"/>
  <c r="L195" i="5"/>
  <c r="P196" i="5"/>
  <c r="M196" i="5" l="1"/>
  <c r="N196" i="5"/>
  <c r="L196" i="5"/>
  <c r="P197" i="5"/>
  <c r="M197" i="5" l="1"/>
  <c r="N197" i="5"/>
  <c r="L197" i="5"/>
  <c r="P198" i="5"/>
  <c r="N198" i="5" l="1"/>
  <c r="M198" i="5"/>
  <c r="L198" i="5"/>
  <c r="P199" i="5"/>
  <c r="N199" i="5" l="1"/>
  <c r="M199" i="5"/>
  <c r="L199" i="5"/>
  <c r="P200" i="5"/>
  <c r="N200" i="5" l="1"/>
  <c r="M200" i="5"/>
  <c r="L200" i="5"/>
  <c r="P201" i="5"/>
  <c r="M201" i="5" l="1"/>
  <c r="N201" i="5"/>
  <c r="L201" i="5"/>
  <c r="P202" i="5"/>
  <c r="M202" i="5" l="1"/>
  <c r="N202" i="5"/>
  <c r="L202" i="5"/>
  <c r="P203" i="5"/>
  <c r="N203" i="5" l="1"/>
  <c r="M203" i="5"/>
  <c r="L203" i="5"/>
  <c r="P204" i="5"/>
  <c r="N204" i="5" l="1"/>
  <c r="M204" i="5"/>
  <c r="L204" i="5"/>
  <c r="P205" i="5"/>
  <c r="N205" i="5" l="1"/>
  <c r="M205" i="5"/>
  <c r="L205" i="5"/>
  <c r="P206" i="5"/>
  <c r="M206" i="5" l="1"/>
  <c r="L206" i="5"/>
  <c r="N206" i="5"/>
  <c r="P207" i="5"/>
  <c r="M207" i="5" l="1"/>
  <c r="N207" i="5"/>
  <c r="L207" i="5"/>
  <c r="P208" i="5"/>
  <c r="N208" i="5" l="1"/>
  <c r="M208" i="5"/>
  <c r="L208" i="5"/>
  <c r="P209" i="5"/>
  <c r="M209" i="5" l="1"/>
  <c r="N209" i="5"/>
  <c r="L209" i="5"/>
  <c r="P210" i="5"/>
  <c r="N210" i="5" l="1"/>
  <c r="L210" i="5"/>
  <c r="M210" i="5"/>
  <c r="P211" i="5"/>
  <c r="N211" i="5" l="1"/>
  <c r="M211" i="5"/>
  <c r="L211" i="5"/>
  <c r="P212" i="5"/>
  <c r="N212" i="5" l="1"/>
  <c r="M212" i="5"/>
  <c r="L212" i="5"/>
  <c r="P213" i="5"/>
  <c r="M213" i="5" l="1"/>
  <c r="N213" i="5"/>
  <c r="L213" i="5"/>
  <c r="P214" i="5"/>
  <c r="M214" i="5" l="1"/>
  <c r="N214" i="5"/>
  <c r="L214" i="5"/>
  <c r="P215" i="5"/>
  <c r="N215" i="5" l="1"/>
  <c r="M215" i="5"/>
  <c r="L215" i="5"/>
  <c r="P216" i="5"/>
  <c r="N216" i="5" l="1"/>
  <c r="M216" i="5"/>
  <c r="L216" i="5"/>
  <c r="P217" i="5"/>
  <c r="N217" i="5" l="1"/>
  <c r="L217" i="5"/>
  <c r="M217" i="5"/>
  <c r="P218" i="5"/>
  <c r="M218" i="5" l="1"/>
  <c r="L218" i="5"/>
  <c r="N218" i="5"/>
  <c r="P219" i="5"/>
  <c r="N219" i="5" l="1"/>
  <c r="M219" i="5"/>
  <c r="L219" i="5"/>
  <c r="P220" i="5"/>
  <c r="N220" i="5" l="1"/>
  <c r="M220" i="5"/>
  <c r="L220" i="5"/>
  <c r="P221" i="5"/>
  <c r="M221" i="5" l="1"/>
  <c r="N221" i="5"/>
  <c r="L221" i="5"/>
  <c r="P222" i="5"/>
  <c r="M222" i="5" l="1"/>
  <c r="N222" i="5"/>
  <c r="L222" i="5"/>
  <c r="P223" i="5"/>
  <c r="N223" i="5" l="1"/>
  <c r="M223" i="5"/>
  <c r="L223" i="5"/>
  <c r="P224" i="5"/>
  <c r="N224" i="5" l="1"/>
  <c r="M224" i="5"/>
  <c r="L224" i="5"/>
  <c r="P225" i="5"/>
  <c r="M225" i="5" l="1"/>
  <c r="N225" i="5"/>
  <c r="L225" i="5"/>
  <c r="P226" i="5"/>
  <c r="M226" i="5" l="1"/>
  <c r="N226" i="5"/>
  <c r="L226" i="5"/>
  <c r="P227" i="5"/>
  <c r="N227" i="5" l="1"/>
  <c r="M227" i="5"/>
  <c r="L227" i="5"/>
  <c r="P228" i="5"/>
  <c r="N228" i="5" l="1"/>
  <c r="L228" i="5"/>
  <c r="M228" i="5"/>
  <c r="P229" i="5"/>
  <c r="N229" i="5" l="1"/>
  <c r="L229" i="5"/>
  <c r="M229" i="5"/>
  <c r="P230" i="5"/>
  <c r="M230" i="5" l="1"/>
  <c r="N230" i="5"/>
  <c r="L230" i="5"/>
  <c r="P231" i="5"/>
  <c r="N231" i="5" l="1"/>
  <c r="M231" i="5"/>
  <c r="L231" i="5"/>
  <c r="P232" i="5"/>
  <c r="N232" i="5" l="1"/>
  <c r="M232" i="5"/>
  <c r="L232" i="5"/>
  <c r="P233" i="5"/>
  <c r="M233" i="5" l="1"/>
  <c r="N233" i="5"/>
  <c r="L233" i="5"/>
  <c r="P234" i="5"/>
  <c r="M234" i="5" l="1"/>
  <c r="L234" i="5"/>
  <c r="N234" i="5"/>
  <c r="P235" i="5"/>
  <c r="N235" i="5" l="1"/>
  <c r="M235" i="5"/>
  <c r="L235" i="5"/>
  <c r="P236" i="5"/>
  <c r="N236" i="5" l="1"/>
  <c r="M236" i="5"/>
  <c r="L236" i="5"/>
  <c r="P237" i="5"/>
  <c r="M237" i="5" l="1"/>
  <c r="L237" i="5"/>
  <c r="N237" i="5"/>
  <c r="P238" i="5"/>
  <c r="M238" i="5" l="1"/>
  <c r="N238" i="5"/>
  <c r="L238" i="5"/>
  <c r="P239" i="5"/>
  <c r="N239" i="5" l="1"/>
  <c r="M239" i="5"/>
  <c r="L239" i="5"/>
  <c r="P240" i="5"/>
  <c r="N240" i="5" l="1"/>
  <c r="M240" i="5"/>
  <c r="L240" i="5"/>
  <c r="P241" i="5"/>
  <c r="N241" i="5" l="1"/>
  <c r="M241" i="5"/>
  <c r="L241" i="5"/>
  <c r="P242" i="5"/>
  <c r="M242" i="5" l="1"/>
  <c r="N242" i="5"/>
  <c r="L242" i="5"/>
  <c r="P243" i="5"/>
  <c r="N243" i="5" l="1"/>
  <c r="M243" i="5"/>
  <c r="L243" i="5"/>
  <c r="P244" i="5"/>
  <c r="N244" i="5" l="1"/>
  <c r="L244" i="5"/>
  <c r="M244" i="5"/>
  <c r="P245" i="5"/>
  <c r="M245" i="5" l="1"/>
  <c r="N245" i="5"/>
  <c r="L245" i="5"/>
  <c r="P246" i="5"/>
  <c r="N246" i="5" l="1"/>
  <c r="L246" i="5"/>
  <c r="M246" i="5"/>
  <c r="P247" i="5"/>
  <c r="N247" i="5" l="1"/>
  <c r="M247" i="5"/>
  <c r="L247" i="5"/>
  <c r="P248" i="5"/>
  <c r="N248" i="5" l="1"/>
  <c r="M248" i="5"/>
  <c r="L248" i="5"/>
  <c r="P249" i="5"/>
  <c r="M249" i="5" l="1"/>
  <c r="N249" i="5"/>
  <c r="L249" i="5"/>
  <c r="P250" i="5"/>
  <c r="M250" i="5" l="1"/>
  <c r="N250" i="5"/>
  <c r="L250" i="5"/>
  <c r="P251" i="5"/>
  <c r="N251" i="5" l="1"/>
  <c r="M251" i="5"/>
  <c r="L251" i="5"/>
  <c r="P252" i="5"/>
  <c r="N252" i="5" l="1"/>
  <c r="M252" i="5"/>
  <c r="L252" i="5"/>
  <c r="P253" i="5"/>
  <c r="N253" i="5" l="1"/>
  <c r="L253" i="5"/>
  <c r="M253" i="5"/>
  <c r="P254" i="5"/>
  <c r="N254" i="5" l="1"/>
  <c r="M254" i="5"/>
  <c r="L254" i="5"/>
  <c r="P255" i="5"/>
  <c r="M255" i="5" l="1"/>
  <c r="N255" i="5"/>
  <c r="L255" i="5"/>
  <c r="P256" i="5"/>
  <c r="M256" i="5" l="1"/>
  <c r="N256" i="5"/>
  <c r="L256" i="5"/>
  <c r="P257" i="5"/>
  <c r="M257" i="5" l="1"/>
  <c r="L257" i="5"/>
  <c r="N257" i="5"/>
  <c r="P258" i="5"/>
  <c r="M258" i="5" l="1"/>
  <c r="N258" i="5"/>
  <c r="L258" i="5"/>
  <c r="P259" i="5"/>
  <c r="N259" i="5" l="1"/>
  <c r="M259" i="5"/>
  <c r="L259" i="5"/>
  <c r="P260" i="5"/>
  <c r="N260" i="5" l="1"/>
  <c r="M260" i="5"/>
  <c r="L260" i="5"/>
  <c r="P261" i="5"/>
  <c r="M261" i="5" l="1"/>
  <c r="N261" i="5"/>
  <c r="L261" i="5"/>
  <c r="P262" i="5"/>
  <c r="M262" i="5" l="1"/>
  <c r="N262" i="5"/>
  <c r="L262" i="5"/>
  <c r="P263" i="5"/>
  <c r="N263" i="5" l="1"/>
  <c r="M263" i="5"/>
  <c r="L263" i="5"/>
  <c r="P264" i="5"/>
  <c r="N264" i="5" l="1"/>
  <c r="L264" i="5"/>
  <c r="M264" i="5"/>
  <c r="P265" i="5"/>
  <c r="N265" i="5" l="1"/>
  <c r="L265" i="5"/>
  <c r="M265" i="5"/>
  <c r="P266" i="5"/>
  <c r="M266" i="5" l="1"/>
  <c r="L266" i="5"/>
  <c r="N266" i="5"/>
  <c r="P267" i="5"/>
  <c r="M267" i="5" l="1"/>
  <c r="N267" i="5"/>
  <c r="L267" i="5"/>
  <c r="P268" i="5"/>
  <c r="M268" i="5" l="1"/>
  <c r="N268" i="5"/>
  <c r="L268" i="5"/>
  <c r="P269" i="5"/>
  <c r="M269" i="5" l="1"/>
  <c r="N269" i="5"/>
  <c r="L269" i="5"/>
  <c r="P270" i="5"/>
  <c r="N270" i="5" l="1"/>
  <c r="M270" i="5"/>
  <c r="L270" i="5"/>
  <c r="P271" i="5"/>
  <c r="N271" i="5" l="1"/>
  <c r="M271" i="5"/>
  <c r="L271" i="5"/>
  <c r="P272" i="5"/>
  <c r="N272" i="5" l="1"/>
  <c r="M272" i="5"/>
  <c r="L272" i="5"/>
  <c r="P273" i="5"/>
  <c r="M273" i="5" l="1"/>
  <c r="N273" i="5"/>
  <c r="L273" i="5"/>
  <c r="P274" i="5"/>
  <c r="M274" i="5" l="1"/>
  <c r="N274" i="5"/>
  <c r="L274" i="5"/>
  <c r="P275" i="5"/>
  <c r="N275" i="5" l="1"/>
  <c r="M275" i="5"/>
  <c r="L275" i="5"/>
  <c r="P276" i="5"/>
  <c r="N276" i="5" l="1"/>
  <c r="M276" i="5"/>
  <c r="L276" i="5"/>
  <c r="P277" i="5"/>
  <c r="N277" i="5" l="1"/>
  <c r="M277" i="5"/>
  <c r="L277" i="5"/>
  <c r="P278" i="5"/>
  <c r="M278" i="5" l="1"/>
  <c r="L278" i="5"/>
  <c r="N278" i="5"/>
  <c r="P279" i="5"/>
  <c r="M279" i="5" l="1"/>
  <c r="N279" i="5"/>
  <c r="L279" i="5"/>
  <c r="P280" i="5"/>
  <c r="N280" i="5" l="1"/>
  <c r="M280" i="5"/>
  <c r="L280" i="5"/>
  <c r="P281" i="5"/>
  <c r="M281" i="5" l="1"/>
  <c r="N281" i="5"/>
  <c r="L281" i="5"/>
  <c r="P282" i="5"/>
  <c r="N282" i="5" l="1"/>
  <c r="L282" i="5"/>
  <c r="M282" i="5"/>
  <c r="P283" i="5"/>
  <c r="N283" i="5" l="1"/>
  <c r="M283" i="5"/>
  <c r="L283" i="5"/>
  <c r="P284" i="5"/>
  <c r="N284" i="5" l="1"/>
  <c r="M284" i="5"/>
  <c r="L284" i="5"/>
  <c r="P285" i="5"/>
  <c r="M285" i="5" l="1"/>
  <c r="N285" i="5"/>
  <c r="L285" i="5"/>
  <c r="P286" i="5"/>
  <c r="M286" i="5" l="1"/>
  <c r="N286" i="5"/>
  <c r="L286" i="5"/>
  <c r="P287" i="5"/>
  <c r="N287" i="5" l="1"/>
  <c r="M287" i="5"/>
  <c r="L287" i="5"/>
  <c r="P288" i="5"/>
  <c r="N288" i="5" l="1"/>
  <c r="M288" i="5"/>
  <c r="L288" i="5"/>
  <c r="P289" i="5"/>
  <c r="N289" i="5" l="1"/>
  <c r="L289" i="5"/>
  <c r="M289" i="5"/>
  <c r="P290" i="5"/>
  <c r="M290" i="5" l="1"/>
  <c r="N290" i="5"/>
  <c r="L290" i="5"/>
  <c r="P291" i="5"/>
  <c r="N291" i="5" l="1"/>
  <c r="M291" i="5"/>
  <c r="L291" i="5"/>
  <c r="P292" i="5"/>
  <c r="N292" i="5" l="1"/>
  <c r="M292" i="5"/>
  <c r="L292" i="5"/>
  <c r="P293" i="5"/>
  <c r="M293" i="5" l="1"/>
  <c r="N293" i="5"/>
  <c r="L293" i="5"/>
  <c r="P294" i="5"/>
  <c r="M294" i="5" l="1"/>
  <c r="N294" i="5"/>
  <c r="L294" i="5"/>
  <c r="P295" i="5"/>
  <c r="N295" i="5" l="1"/>
  <c r="M295" i="5"/>
  <c r="L295" i="5"/>
  <c r="P296" i="5"/>
  <c r="N296" i="5" l="1"/>
  <c r="M296" i="5"/>
  <c r="L296" i="5"/>
  <c r="P297" i="5"/>
  <c r="M297" i="5" l="1"/>
  <c r="L297" i="5"/>
  <c r="N297" i="5"/>
  <c r="P298" i="5"/>
  <c r="M298" i="5" l="1"/>
  <c r="N298" i="5"/>
  <c r="L298" i="5"/>
  <c r="P299" i="5"/>
  <c r="N299" i="5" l="1"/>
  <c r="M299" i="5"/>
  <c r="L299" i="5"/>
  <c r="P300" i="5"/>
  <c r="N300" i="5" l="1"/>
  <c r="L300" i="5"/>
  <c r="M300" i="5"/>
  <c r="P301" i="5"/>
  <c r="N301" i="5" l="1"/>
  <c r="L301" i="5"/>
  <c r="M301" i="5"/>
  <c r="P302" i="5"/>
  <c r="N302" i="5" l="1"/>
  <c r="M302" i="5"/>
  <c r="L302" i="5"/>
  <c r="P303" i="5"/>
  <c r="N303" i="5" l="1"/>
  <c r="M303" i="5"/>
  <c r="L303" i="5"/>
  <c r="P304" i="5"/>
  <c r="N304" i="5" l="1"/>
  <c r="M304" i="5"/>
  <c r="L304" i="5"/>
  <c r="P305" i="5"/>
  <c r="M305" i="5" l="1"/>
  <c r="N305" i="5"/>
  <c r="L305" i="5"/>
  <c r="P306" i="5"/>
  <c r="M306" i="5" l="1"/>
  <c r="L306" i="5"/>
  <c r="N306" i="5"/>
  <c r="P307" i="5"/>
  <c r="N307" i="5" l="1"/>
  <c r="M307" i="5"/>
  <c r="L307" i="5"/>
  <c r="P308" i="5"/>
  <c r="N308" i="5" l="1"/>
  <c r="M308" i="5"/>
  <c r="L308" i="5"/>
  <c r="P309" i="5"/>
  <c r="M309" i="5" l="1"/>
  <c r="N309" i="5"/>
  <c r="L309" i="5"/>
  <c r="P310" i="5"/>
  <c r="M310" i="5" l="1"/>
  <c r="N310" i="5"/>
  <c r="L310" i="5"/>
  <c r="P311" i="5"/>
  <c r="N311" i="5" l="1"/>
  <c r="M311" i="5"/>
  <c r="L311" i="5"/>
  <c r="P312" i="5"/>
  <c r="N312" i="5" l="1"/>
  <c r="M312" i="5"/>
  <c r="L312" i="5"/>
  <c r="P313" i="5"/>
  <c r="N313" i="5" l="1"/>
  <c r="M313" i="5"/>
  <c r="L313" i="5"/>
  <c r="P314" i="5"/>
  <c r="N314" i="5" l="1"/>
  <c r="M314" i="5"/>
  <c r="L314" i="5"/>
  <c r="P315" i="5"/>
  <c r="N315" i="5" l="1"/>
  <c r="M315" i="5"/>
  <c r="L315" i="5"/>
  <c r="P316" i="5"/>
  <c r="N316" i="5" l="1"/>
  <c r="L316" i="5"/>
  <c r="M316" i="5"/>
  <c r="P317" i="5"/>
  <c r="L317" i="5" l="1"/>
  <c r="N317" i="5"/>
  <c r="M317" i="5"/>
  <c r="P318" i="5"/>
  <c r="M318" i="5" l="1"/>
  <c r="L318" i="5"/>
  <c r="N318" i="5"/>
  <c r="P319" i="5"/>
  <c r="N319" i="5" l="1"/>
  <c r="M319" i="5"/>
  <c r="L319" i="5"/>
  <c r="P320" i="5"/>
  <c r="N320" i="5" l="1"/>
  <c r="M320" i="5"/>
  <c r="L320" i="5"/>
  <c r="P321" i="5"/>
  <c r="M321" i="5" l="1"/>
  <c r="N321" i="5"/>
  <c r="L321" i="5"/>
  <c r="P322" i="5"/>
  <c r="M322" i="5" l="1"/>
  <c r="N322" i="5"/>
  <c r="L322" i="5"/>
  <c r="P323" i="5"/>
  <c r="N323" i="5" l="1"/>
  <c r="M323" i="5"/>
  <c r="L323" i="5"/>
  <c r="P324" i="5"/>
  <c r="N324" i="5" l="1"/>
  <c r="M324" i="5"/>
  <c r="L324" i="5"/>
  <c r="P325" i="5"/>
  <c r="N325" i="5" l="1"/>
  <c r="M325" i="5"/>
  <c r="L325" i="5"/>
  <c r="P326" i="5"/>
  <c r="N326" i="5" l="1"/>
  <c r="M326" i="5"/>
  <c r="L326" i="5"/>
  <c r="P327" i="5"/>
  <c r="M327" i="5" l="1"/>
  <c r="N327" i="5"/>
  <c r="L327" i="5"/>
  <c r="P328" i="5"/>
  <c r="M328" i="5" l="1"/>
  <c r="N328" i="5"/>
  <c r="L328" i="5"/>
  <c r="P329" i="5"/>
  <c r="M329" i="5" l="1"/>
  <c r="N329" i="5"/>
  <c r="L329" i="5"/>
  <c r="P330" i="5"/>
  <c r="N330" i="5" l="1"/>
  <c r="M330" i="5"/>
  <c r="L330" i="5"/>
  <c r="P331" i="5"/>
  <c r="N331" i="5" l="1"/>
  <c r="L331" i="5"/>
  <c r="M331" i="5"/>
  <c r="P332" i="5"/>
  <c r="N332" i="5" l="1"/>
  <c r="M332" i="5"/>
  <c r="L332" i="5"/>
  <c r="P333" i="5"/>
  <c r="M333" i="5" l="1"/>
  <c r="N333" i="5"/>
  <c r="L333" i="5"/>
  <c r="P334" i="5"/>
  <c r="M334" i="5" l="1"/>
  <c r="N334" i="5"/>
  <c r="L334" i="5"/>
  <c r="P335" i="5"/>
  <c r="N335" i="5" l="1"/>
  <c r="M335" i="5"/>
  <c r="L335" i="5"/>
  <c r="P336" i="5"/>
  <c r="N336" i="5" l="1"/>
  <c r="M336" i="5"/>
  <c r="L336" i="5"/>
  <c r="P337" i="5"/>
  <c r="N337" i="5" l="1"/>
  <c r="M337" i="5"/>
  <c r="L337" i="5"/>
  <c r="P338" i="5"/>
  <c r="M338" i="5" l="1"/>
  <c r="L338" i="5"/>
  <c r="N338" i="5"/>
  <c r="P339" i="5"/>
  <c r="M339" i="5" l="1"/>
  <c r="L339" i="5"/>
  <c r="N339" i="5"/>
  <c r="P340" i="5"/>
  <c r="M340" i="5" l="1"/>
  <c r="L340" i="5"/>
  <c r="N340" i="5"/>
  <c r="P341" i="5"/>
  <c r="N341" i="5" l="1"/>
  <c r="M341" i="5"/>
  <c r="L341" i="5"/>
  <c r="P342" i="5"/>
  <c r="N342" i="5" l="1"/>
  <c r="M342" i="5"/>
  <c r="L342" i="5"/>
  <c r="P343" i="5"/>
  <c r="N343" i="5" l="1"/>
  <c r="M343" i="5"/>
  <c r="L343" i="5"/>
  <c r="P344" i="5"/>
  <c r="N344" i="5" l="1"/>
  <c r="M344" i="5"/>
  <c r="L344" i="5"/>
  <c r="P345" i="5"/>
  <c r="M345" i="5" l="1"/>
  <c r="N345" i="5"/>
  <c r="L345" i="5"/>
  <c r="P346" i="5"/>
  <c r="M346" i="5" l="1"/>
  <c r="N346" i="5"/>
  <c r="L346" i="5"/>
  <c r="P347" i="5"/>
  <c r="N347" i="5" l="1"/>
  <c r="M347" i="5"/>
  <c r="L347" i="5"/>
  <c r="P348" i="5"/>
  <c r="N348" i="5" l="1"/>
  <c r="M348" i="5"/>
  <c r="L348" i="5"/>
  <c r="P349" i="5"/>
  <c r="N349" i="5" l="1"/>
  <c r="L349" i="5"/>
  <c r="M349" i="5"/>
  <c r="P350" i="5"/>
  <c r="L350" i="5" l="1"/>
  <c r="N350" i="5"/>
  <c r="M350" i="5"/>
  <c r="P351" i="5"/>
  <c r="M351" i="5" l="1"/>
  <c r="N351" i="5"/>
  <c r="L351" i="5"/>
  <c r="P352" i="5"/>
  <c r="M352" i="5" l="1"/>
  <c r="N352" i="5"/>
  <c r="L352" i="5"/>
  <c r="P353" i="5"/>
  <c r="N353" i="5" l="1"/>
  <c r="M353" i="5"/>
  <c r="L353" i="5"/>
  <c r="P354" i="5"/>
  <c r="N354" i="5" l="1"/>
  <c r="L354" i="5"/>
  <c r="M354" i="5"/>
  <c r="P355" i="5"/>
  <c r="N355" i="5" l="1"/>
  <c r="M355" i="5"/>
  <c r="L355" i="5"/>
  <c r="P356" i="5"/>
  <c r="N356" i="5" l="1"/>
  <c r="M356" i="5"/>
  <c r="L356" i="5"/>
  <c r="P357" i="5"/>
  <c r="M357" i="5" l="1"/>
  <c r="N357" i="5"/>
  <c r="L357" i="5"/>
  <c r="P358" i="5"/>
  <c r="M358" i="5" l="1"/>
  <c r="N358" i="5"/>
  <c r="L358" i="5"/>
  <c r="P359" i="5"/>
  <c r="N359" i="5" l="1"/>
  <c r="M359" i="5"/>
  <c r="L359" i="5"/>
  <c r="P360" i="5"/>
  <c r="N360" i="5" l="1"/>
  <c r="M360" i="5"/>
  <c r="L360" i="5"/>
  <c r="P361" i="5"/>
  <c r="N361" i="5" l="1"/>
  <c r="M361" i="5"/>
  <c r="L361" i="5"/>
  <c r="P362" i="5"/>
  <c r="L362" i="5" l="1"/>
  <c r="M362" i="5"/>
  <c r="N362" i="5"/>
  <c r="P363" i="5"/>
  <c r="N363" i="5" l="1"/>
  <c r="L363" i="5"/>
  <c r="M363" i="5"/>
  <c r="P364" i="5"/>
  <c r="N364" i="5" l="1"/>
  <c r="M364" i="5"/>
  <c r="L364" i="5"/>
  <c r="P365" i="5"/>
  <c r="M365" i="5" l="1"/>
  <c r="N365" i="5"/>
  <c r="L365" i="5"/>
  <c r="P366" i="5"/>
  <c r="M366" i="5" l="1"/>
  <c r="L366" i="5"/>
  <c r="N366" i="5"/>
  <c r="P367" i="5"/>
  <c r="N367" i="5" l="1"/>
  <c r="M367" i="5"/>
  <c r="L367" i="5"/>
  <c r="P368" i="5"/>
  <c r="N368" i="5" l="1"/>
  <c r="M368" i="5"/>
  <c r="L368" i="5"/>
  <c r="P369" i="5"/>
  <c r="N369" i="5" l="1"/>
  <c r="M369" i="5"/>
  <c r="L369" i="5"/>
  <c r="P370" i="5"/>
  <c r="M370" i="5" l="1"/>
  <c r="N370" i="5"/>
  <c r="L370" i="5"/>
  <c r="P371" i="5"/>
  <c r="N371" i="5" l="1"/>
  <c r="M371" i="5"/>
  <c r="L371" i="5"/>
  <c r="P372" i="5"/>
  <c r="N372" i="5" l="1"/>
  <c r="M372" i="5"/>
  <c r="L372" i="5"/>
  <c r="P373" i="5"/>
  <c r="N373" i="5" l="1"/>
  <c r="M373" i="5"/>
  <c r="L373" i="5"/>
  <c r="P374" i="5"/>
  <c r="M374" i="5" l="1"/>
  <c r="N374" i="5"/>
  <c r="L374" i="5"/>
  <c r="P375" i="5"/>
  <c r="N375" i="5" l="1"/>
  <c r="M375" i="5"/>
  <c r="L375" i="5"/>
  <c r="P376" i="5"/>
  <c r="N376" i="5" l="1"/>
  <c r="M376" i="5"/>
  <c r="L376" i="5"/>
  <c r="P377" i="5"/>
  <c r="N377" i="5" l="1"/>
  <c r="M377" i="5"/>
  <c r="L377" i="5"/>
  <c r="P378" i="5"/>
  <c r="L378" i="5" l="1"/>
  <c r="M378" i="5"/>
  <c r="N378" i="5"/>
  <c r="P379" i="5"/>
  <c r="N379" i="5" l="1"/>
  <c r="M379" i="5"/>
  <c r="L379" i="5"/>
  <c r="P380" i="5"/>
  <c r="N380" i="5" l="1"/>
  <c r="M380" i="5"/>
  <c r="L380" i="5"/>
  <c r="P381" i="5"/>
  <c r="M381" i="5" l="1"/>
  <c r="L381" i="5"/>
  <c r="N381" i="5"/>
  <c r="P382" i="5"/>
  <c r="M382" i="5" l="1"/>
  <c r="N382" i="5"/>
  <c r="L382" i="5"/>
  <c r="P383" i="5"/>
  <c r="N383" i="5" l="1"/>
  <c r="M383" i="5"/>
  <c r="L383" i="5"/>
  <c r="P384" i="5"/>
  <c r="N384" i="5" l="1"/>
  <c r="M384" i="5"/>
  <c r="L384" i="5"/>
  <c r="P385" i="5"/>
  <c r="N385" i="5" l="1"/>
  <c r="M385" i="5"/>
  <c r="L385" i="5"/>
  <c r="P386" i="5"/>
  <c r="N386" i="5" l="1"/>
  <c r="M386" i="5"/>
  <c r="L386" i="5"/>
  <c r="P387" i="5"/>
  <c r="N387" i="5" l="1"/>
  <c r="M387" i="5"/>
  <c r="L387" i="5"/>
  <c r="P388" i="5"/>
  <c r="M388" i="5" l="1"/>
  <c r="N388" i="5"/>
  <c r="L388" i="5"/>
  <c r="P389" i="5"/>
  <c r="M389" i="5" l="1"/>
  <c r="N389" i="5"/>
  <c r="L389" i="5"/>
  <c r="P390" i="5"/>
  <c r="M390" i="5" l="1"/>
  <c r="L390" i="5"/>
  <c r="N390" i="5"/>
  <c r="P391" i="5"/>
  <c r="N391" i="5" l="1"/>
  <c r="L391" i="5"/>
  <c r="M391" i="5"/>
  <c r="P392" i="5"/>
  <c r="N392" i="5" l="1"/>
  <c r="M392" i="5"/>
  <c r="L392" i="5"/>
  <c r="P393" i="5"/>
  <c r="N393" i="5" l="1"/>
  <c r="L393" i="5"/>
  <c r="M393" i="5"/>
  <c r="P394" i="5"/>
  <c r="N394" i="5" l="1"/>
  <c r="M394" i="5"/>
  <c r="L394" i="5"/>
  <c r="P395" i="5"/>
  <c r="N395" i="5" l="1"/>
  <c r="M395" i="5"/>
  <c r="L395" i="5"/>
  <c r="P396" i="5"/>
  <c r="N396" i="5" l="1"/>
  <c r="M396" i="5"/>
  <c r="L396" i="5"/>
  <c r="P397" i="5"/>
  <c r="N397" i="5" l="1"/>
  <c r="L397" i="5"/>
  <c r="M397" i="5"/>
  <c r="P398" i="5"/>
  <c r="N398" i="5" l="1"/>
  <c r="L398" i="5"/>
  <c r="M398" i="5"/>
  <c r="P399" i="5"/>
  <c r="M399" i="5" l="1"/>
  <c r="N399" i="5"/>
  <c r="L399" i="5"/>
  <c r="P400" i="5"/>
  <c r="M400" i="5" l="1"/>
  <c r="L400" i="5"/>
  <c r="N400" i="5"/>
  <c r="P401" i="5"/>
  <c r="M401" i="5" l="1"/>
  <c r="N401" i="5"/>
  <c r="L401" i="5"/>
  <c r="P402" i="5"/>
  <c r="M402" i="5" l="1"/>
  <c r="N402" i="5"/>
  <c r="L402" i="5"/>
  <c r="P403" i="5"/>
  <c r="N403" i="5" l="1"/>
  <c r="L403" i="5"/>
  <c r="M403" i="5"/>
  <c r="P404" i="5"/>
  <c r="N404" i="5" l="1"/>
  <c r="M404" i="5"/>
  <c r="L404" i="5"/>
  <c r="P405" i="5"/>
  <c r="N405" i="5" l="1"/>
  <c r="M405" i="5"/>
  <c r="L405" i="5"/>
  <c r="P406" i="5"/>
  <c r="N406" i="5" l="1"/>
  <c r="M406" i="5"/>
  <c r="L406" i="5"/>
  <c r="P407" i="5"/>
  <c r="N407" i="5" l="1"/>
  <c r="M407" i="5"/>
  <c r="L407" i="5"/>
  <c r="P408" i="5"/>
  <c r="N408" i="5" l="1"/>
  <c r="M408" i="5"/>
  <c r="L408" i="5"/>
  <c r="P409" i="5"/>
  <c r="N409" i="5" l="1"/>
  <c r="M409" i="5"/>
  <c r="L409" i="5"/>
  <c r="P410" i="5"/>
  <c r="L410" i="5" l="1"/>
  <c r="N410" i="5"/>
  <c r="M410" i="5"/>
  <c r="P411" i="5"/>
  <c r="N411" i="5" l="1"/>
  <c r="M411" i="5"/>
  <c r="L411" i="5"/>
  <c r="P412" i="5"/>
  <c r="N412" i="5" l="1"/>
  <c r="M412" i="5"/>
  <c r="L412" i="5"/>
  <c r="P413" i="5"/>
  <c r="N413" i="5" l="1"/>
  <c r="M413" i="5"/>
  <c r="L413" i="5"/>
  <c r="P414" i="5"/>
  <c r="N414" i="5" l="1"/>
  <c r="M414" i="5"/>
  <c r="L414" i="5"/>
  <c r="P415" i="5"/>
  <c r="N415" i="5" l="1"/>
  <c r="M415" i="5"/>
  <c r="L415" i="5"/>
  <c r="P416" i="5"/>
  <c r="N416" i="5" l="1"/>
  <c r="M416" i="5"/>
  <c r="L416" i="5"/>
  <c r="P417" i="5"/>
  <c r="N417" i="5" l="1"/>
  <c r="M417" i="5"/>
  <c r="L417" i="5"/>
  <c r="P418" i="5"/>
  <c r="N418" i="5" l="1"/>
  <c r="L418" i="5"/>
  <c r="M418" i="5"/>
  <c r="P419" i="5"/>
  <c r="N419" i="5" l="1"/>
  <c r="M419" i="5"/>
  <c r="L419" i="5"/>
  <c r="P420" i="5"/>
  <c r="N420" i="5" l="1"/>
  <c r="M420" i="5"/>
  <c r="L420" i="5"/>
  <c r="P421" i="5"/>
  <c r="N421" i="5" l="1"/>
  <c r="M421" i="5"/>
  <c r="L421" i="5"/>
  <c r="P422" i="5"/>
  <c r="M422" i="5" l="1"/>
  <c r="L422" i="5"/>
  <c r="N422" i="5"/>
  <c r="P423" i="5"/>
  <c r="M423" i="5" l="1"/>
  <c r="N423" i="5"/>
  <c r="L423" i="5"/>
  <c r="P424" i="5"/>
  <c r="N424" i="5" l="1"/>
  <c r="M424" i="5"/>
  <c r="L424" i="5"/>
  <c r="P425" i="5"/>
  <c r="N425" i="5" l="1"/>
  <c r="M425" i="5"/>
  <c r="L425" i="5"/>
  <c r="P426" i="5"/>
  <c r="N426" i="5" l="1"/>
  <c r="M426" i="5"/>
  <c r="L426" i="5"/>
  <c r="P427" i="5"/>
  <c r="N427" i="5" l="1"/>
  <c r="M427" i="5"/>
  <c r="L427" i="5"/>
  <c r="P428" i="5"/>
  <c r="N428" i="5" l="1"/>
  <c r="M428" i="5"/>
  <c r="L428" i="5"/>
  <c r="P429" i="5"/>
  <c r="M429" i="5" l="1"/>
  <c r="N429" i="5"/>
  <c r="L429" i="5"/>
  <c r="P430" i="5"/>
  <c r="N430" i="5" l="1"/>
  <c r="M430" i="5"/>
  <c r="L430" i="5"/>
  <c r="P431" i="5"/>
  <c r="N431" i="5" l="1"/>
  <c r="M431" i="5"/>
  <c r="L431" i="5"/>
  <c r="P432" i="5"/>
  <c r="N432" i="5" l="1"/>
  <c r="L432" i="5"/>
  <c r="M432" i="5"/>
  <c r="P433" i="5"/>
  <c r="N433" i="5" l="1"/>
  <c r="M433" i="5"/>
  <c r="L433" i="5"/>
  <c r="P434" i="5"/>
  <c r="M434" i="5" l="1"/>
  <c r="L434" i="5"/>
  <c r="N434" i="5"/>
  <c r="P435" i="5"/>
  <c r="M435" i="5" l="1"/>
  <c r="N435" i="5"/>
  <c r="L435" i="5"/>
  <c r="P436" i="5"/>
  <c r="N436" i="5" l="1"/>
  <c r="M436" i="5"/>
  <c r="L436" i="5"/>
  <c r="P437" i="5"/>
  <c r="N437" i="5" l="1"/>
  <c r="M437" i="5"/>
  <c r="L437" i="5"/>
  <c r="P438" i="5"/>
  <c r="M438" i="5" l="1"/>
  <c r="L438" i="5"/>
  <c r="N438" i="5"/>
  <c r="P439" i="5"/>
  <c r="N439" i="5" l="1"/>
  <c r="M439" i="5"/>
  <c r="L439" i="5"/>
  <c r="P440" i="5"/>
  <c r="N440" i="5" l="1"/>
  <c r="M440" i="5"/>
  <c r="L440" i="5"/>
  <c r="P441" i="5"/>
  <c r="M441" i="5" l="1"/>
  <c r="N441" i="5"/>
  <c r="L441" i="5"/>
  <c r="P442" i="5"/>
  <c r="N442" i="5" l="1"/>
  <c r="M442" i="5"/>
  <c r="L442" i="5"/>
  <c r="P443" i="5"/>
  <c r="N443" i="5" l="1"/>
  <c r="M443" i="5"/>
  <c r="L443" i="5"/>
  <c r="P444" i="5"/>
  <c r="N444" i="5" l="1"/>
  <c r="L444" i="5"/>
  <c r="M444" i="5"/>
  <c r="P445" i="5"/>
  <c r="N445" i="5" l="1"/>
  <c r="M445" i="5"/>
  <c r="L445" i="5"/>
  <c r="P446" i="5"/>
  <c r="N446" i="5" l="1"/>
  <c r="M446" i="5"/>
  <c r="L446" i="5"/>
  <c r="P447" i="5"/>
  <c r="N447" i="5" l="1"/>
  <c r="M447" i="5"/>
  <c r="L447" i="5"/>
  <c r="P448" i="5"/>
  <c r="N448" i="5" l="1"/>
  <c r="M448" i="5"/>
  <c r="L448" i="5"/>
  <c r="P449" i="5"/>
  <c r="M449" i="5" l="1"/>
  <c r="N449" i="5"/>
  <c r="L449" i="5"/>
  <c r="P450" i="5"/>
  <c r="N450" i="5" l="1"/>
  <c r="L450" i="5"/>
  <c r="M450" i="5"/>
  <c r="P451" i="5"/>
  <c r="N451" i="5" l="1"/>
  <c r="M451" i="5"/>
  <c r="L451" i="5"/>
  <c r="P452" i="5"/>
  <c r="N452" i="5" l="1"/>
  <c r="M452" i="5"/>
  <c r="L452" i="5"/>
  <c r="P453" i="5"/>
  <c r="M453" i="5" l="1"/>
  <c r="N453" i="5"/>
  <c r="L453" i="5"/>
  <c r="P454" i="5"/>
  <c r="N454" i="5" l="1"/>
  <c r="M454" i="5"/>
  <c r="L454" i="5"/>
  <c r="P455" i="5"/>
  <c r="N455" i="5" l="1"/>
  <c r="M455" i="5"/>
  <c r="L455" i="5"/>
  <c r="P456" i="5"/>
  <c r="N456" i="5" l="1"/>
  <c r="L456" i="5"/>
  <c r="M456" i="5"/>
  <c r="P457" i="5"/>
  <c r="N457" i="5" l="1"/>
  <c r="M457" i="5"/>
  <c r="L457" i="5"/>
  <c r="P458" i="5"/>
  <c r="N458" i="5" l="1"/>
  <c r="M458" i="5"/>
  <c r="L458" i="5"/>
  <c r="P459" i="5"/>
  <c r="N459" i="5" l="1"/>
  <c r="M459" i="5"/>
  <c r="L459" i="5"/>
  <c r="P460" i="5"/>
  <c r="N460" i="5" l="1"/>
  <c r="M460" i="5"/>
  <c r="L460" i="5"/>
  <c r="P461" i="5"/>
  <c r="M461" i="5" l="1"/>
  <c r="L461" i="5"/>
  <c r="N461" i="5"/>
  <c r="P462" i="5"/>
  <c r="M462" i="5" l="1"/>
  <c r="L462" i="5"/>
  <c r="N462" i="5"/>
  <c r="P463" i="5"/>
  <c r="N463" i="5" l="1"/>
  <c r="M463" i="5"/>
  <c r="L463" i="5"/>
  <c r="P464" i="5"/>
  <c r="N464" i="5" l="1"/>
  <c r="M464" i="5"/>
  <c r="L464" i="5"/>
  <c r="P465" i="5"/>
  <c r="M465" i="5" l="1"/>
  <c r="N465" i="5"/>
  <c r="L465" i="5"/>
  <c r="P466" i="5"/>
  <c r="N466" i="5" l="1"/>
  <c r="M466" i="5"/>
  <c r="L466" i="5"/>
  <c r="P467" i="5"/>
  <c r="N467" i="5" l="1"/>
  <c r="M467" i="5"/>
  <c r="L467" i="5"/>
  <c r="P468" i="5"/>
  <c r="N468" i="5" l="1"/>
  <c r="L468" i="5"/>
  <c r="M468" i="5"/>
  <c r="P469" i="5"/>
  <c r="N469" i="5" l="1"/>
  <c r="M469" i="5"/>
  <c r="L469" i="5"/>
  <c r="P470" i="5"/>
  <c r="M470" i="5" l="1"/>
  <c r="N470" i="5"/>
  <c r="L470" i="5"/>
  <c r="P471" i="5"/>
  <c r="M471" i="5" l="1"/>
  <c r="N471" i="5"/>
  <c r="L471" i="5"/>
  <c r="P472" i="5"/>
  <c r="M472" i="5" l="1"/>
  <c r="N472" i="5"/>
  <c r="L472" i="5"/>
  <c r="P473" i="5"/>
  <c r="M473" i="5" l="1"/>
  <c r="N473" i="5"/>
  <c r="L473" i="5"/>
  <c r="P474" i="5"/>
  <c r="N474" i="5" l="1"/>
  <c r="L474" i="5"/>
  <c r="M474" i="5"/>
  <c r="P475" i="5"/>
  <c r="N475" i="5" l="1"/>
  <c r="M475" i="5"/>
  <c r="L475" i="5"/>
  <c r="P476" i="5"/>
  <c r="N476" i="5" l="1"/>
  <c r="M476" i="5"/>
  <c r="L476" i="5"/>
  <c r="P477" i="5"/>
  <c r="N477" i="5" l="1"/>
  <c r="M477" i="5"/>
  <c r="L477" i="5"/>
  <c r="P478" i="5"/>
  <c r="N478" i="5" l="1"/>
  <c r="M478" i="5"/>
  <c r="L478" i="5"/>
  <c r="P479" i="5"/>
  <c r="N479" i="5" l="1"/>
  <c r="M479" i="5"/>
  <c r="L479" i="5"/>
  <c r="P480" i="5"/>
  <c r="N480" i="5" l="1"/>
  <c r="L480" i="5"/>
  <c r="M480" i="5"/>
  <c r="P481" i="5"/>
  <c r="N481" i="5" l="1"/>
  <c r="M481" i="5"/>
  <c r="L481" i="5"/>
  <c r="P482" i="5"/>
  <c r="M482" i="5" l="1"/>
  <c r="L482" i="5"/>
  <c r="N482" i="5"/>
  <c r="P483" i="5"/>
  <c r="M483" i="5" l="1"/>
  <c r="L483" i="5"/>
  <c r="N483" i="5"/>
  <c r="P484" i="5"/>
  <c r="M484" i="5" l="1"/>
  <c r="L484" i="5"/>
  <c r="N484" i="5"/>
  <c r="P485" i="5"/>
  <c r="N485" i="5" l="1"/>
  <c r="M485" i="5"/>
  <c r="L485" i="5"/>
  <c r="P486" i="5"/>
  <c r="N486" i="5" l="1"/>
  <c r="M486" i="5"/>
  <c r="L486" i="5"/>
  <c r="P487" i="5"/>
  <c r="N487" i="5" l="1"/>
  <c r="M487" i="5"/>
  <c r="L487" i="5"/>
  <c r="P488" i="5"/>
  <c r="N488" i="5" l="1"/>
  <c r="M488" i="5"/>
  <c r="L488" i="5"/>
  <c r="P489" i="5"/>
  <c r="M489" i="5" l="1"/>
  <c r="N489" i="5"/>
  <c r="L489" i="5"/>
  <c r="P490" i="5"/>
  <c r="N490" i="5" l="1"/>
  <c r="M490" i="5"/>
  <c r="L490" i="5"/>
  <c r="P491" i="5"/>
  <c r="N491" i="5" l="1"/>
  <c r="M491" i="5"/>
  <c r="L491" i="5"/>
  <c r="P492" i="5"/>
  <c r="N492" i="5" l="1"/>
  <c r="L492" i="5"/>
  <c r="M492" i="5"/>
  <c r="P493" i="5"/>
  <c r="N493" i="5" l="1"/>
  <c r="M493" i="5"/>
  <c r="L493" i="5"/>
  <c r="P494" i="5"/>
  <c r="M494" i="5" l="1"/>
  <c r="N494" i="5"/>
  <c r="L494" i="5"/>
  <c r="P495" i="5"/>
  <c r="M495" i="5" l="1"/>
  <c r="N495" i="5"/>
  <c r="L495" i="5"/>
  <c r="P496" i="5"/>
  <c r="N496" i="5" l="1"/>
  <c r="M496" i="5"/>
  <c r="L496" i="5"/>
  <c r="P497" i="5"/>
  <c r="N497" i="5" l="1"/>
  <c r="M497" i="5"/>
  <c r="L497" i="5"/>
  <c r="P498" i="5"/>
  <c r="N498" i="5" l="1"/>
  <c r="L498" i="5"/>
  <c r="M498" i="5"/>
  <c r="P499" i="5"/>
  <c r="N499" i="5" l="1"/>
  <c r="M499" i="5"/>
  <c r="L499" i="5"/>
  <c r="P500" i="5"/>
  <c r="N500" i="5" l="1"/>
  <c r="M500" i="5"/>
  <c r="L500" i="5"/>
  <c r="P501" i="5"/>
  <c r="M501" i="5" l="1"/>
  <c r="N501" i="5"/>
  <c r="L501" i="5"/>
  <c r="P502" i="5"/>
  <c r="M502" i="5" l="1"/>
  <c r="N502" i="5"/>
  <c r="L502" i="5"/>
  <c r="P503" i="5"/>
  <c r="N503" i="5" l="1"/>
  <c r="M503" i="5"/>
  <c r="L503" i="5"/>
  <c r="P504" i="5"/>
  <c r="N504" i="5" l="1"/>
  <c r="L504" i="5"/>
  <c r="M504" i="5"/>
  <c r="P505" i="5"/>
  <c r="N505" i="5" l="1"/>
  <c r="M505" i="5"/>
  <c r="L505" i="5"/>
  <c r="P506" i="5"/>
  <c r="M506" i="5" l="1"/>
  <c r="L506" i="5"/>
  <c r="N506" i="5"/>
  <c r="P507" i="5"/>
  <c r="N507" i="5" l="1"/>
  <c r="M507" i="5"/>
  <c r="L507" i="5"/>
  <c r="P508" i="5"/>
  <c r="N508" i="5" l="1"/>
  <c r="M508" i="5"/>
  <c r="L508" i="5"/>
  <c r="P509" i="5"/>
  <c r="N509" i="5" l="1"/>
  <c r="M509" i="5"/>
  <c r="L509" i="5"/>
  <c r="P510" i="5"/>
  <c r="M510" i="5" l="1"/>
  <c r="N510" i="5"/>
  <c r="L510" i="5"/>
  <c r="P511" i="5"/>
  <c r="N511" i="5" l="1"/>
  <c r="M511" i="5"/>
  <c r="L511" i="5"/>
  <c r="P512" i="5"/>
  <c r="N512" i="5" l="1"/>
  <c r="M512" i="5"/>
  <c r="L512" i="5"/>
  <c r="P513" i="5"/>
  <c r="M513" i="5" l="1"/>
  <c r="N513" i="5"/>
  <c r="L513" i="5"/>
  <c r="P514" i="5"/>
  <c r="N514" i="5" l="1"/>
  <c r="L514" i="5"/>
  <c r="M514" i="5"/>
  <c r="P515" i="5"/>
  <c r="N515" i="5" l="1"/>
  <c r="L515" i="5"/>
  <c r="M515" i="5"/>
  <c r="P516" i="5"/>
  <c r="N516" i="5" l="1"/>
  <c r="L516" i="5"/>
  <c r="M516" i="5"/>
  <c r="P517" i="5"/>
  <c r="N517" i="5" l="1"/>
  <c r="M517" i="5"/>
  <c r="L517" i="5"/>
  <c r="P518" i="5"/>
  <c r="M518" i="5" l="1"/>
  <c r="N518" i="5"/>
  <c r="L518" i="5"/>
  <c r="P519" i="5"/>
  <c r="N519" i="5" l="1"/>
  <c r="M519" i="5"/>
  <c r="L519" i="5"/>
  <c r="P520" i="5"/>
  <c r="N520" i="5" l="1"/>
  <c r="M520" i="5"/>
  <c r="L520" i="5"/>
  <c r="P521" i="5"/>
  <c r="M521" i="5" l="1"/>
  <c r="N521" i="5"/>
  <c r="L521" i="5"/>
  <c r="P522" i="5"/>
  <c r="L522" i="5" l="1"/>
  <c r="M522" i="5"/>
  <c r="N522" i="5"/>
  <c r="P523" i="5"/>
  <c r="N523" i="5" l="1"/>
  <c r="M523" i="5"/>
  <c r="L523" i="5"/>
  <c r="P524" i="5"/>
  <c r="N524" i="5" l="1"/>
  <c r="M524" i="5"/>
  <c r="L524" i="5"/>
  <c r="P525" i="5"/>
  <c r="M525" i="5" l="1"/>
  <c r="N525" i="5"/>
  <c r="L525" i="5"/>
  <c r="P526" i="5"/>
  <c r="N526" i="5" l="1"/>
  <c r="M526" i="5"/>
  <c r="L526" i="5"/>
  <c r="P527" i="5"/>
  <c r="N527" i="5" l="1"/>
  <c r="M527" i="5"/>
  <c r="L527" i="5"/>
  <c r="P528" i="5"/>
  <c r="N528" i="5" l="1"/>
  <c r="L528" i="5"/>
  <c r="M528" i="5"/>
  <c r="P529" i="5"/>
  <c r="N529" i="5" l="1"/>
  <c r="M529" i="5"/>
  <c r="L529" i="5"/>
  <c r="P530" i="5"/>
  <c r="N530" i="5" l="1"/>
  <c r="M530" i="5"/>
  <c r="L530" i="5"/>
  <c r="P531" i="5"/>
  <c r="N531" i="5" l="1"/>
  <c r="M531" i="5"/>
  <c r="L531" i="5"/>
  <c r="P532" i="5"/>
  <c r="N532" i="5" l="1"/>
  <c r="M532" i="5"/>
  <c r="L532" i="5"/>
  <c r="P533" i="5"/>
  <c r="N533" i="5" l="1"/>
  <c r="M533" i="5"/>
  <c r="L533" i="5"/>
  <c r="P534" i="5"/>
  <c r="N534" i="5" l="1"/>
  <c r="M534" i="5"/>
  <c r="L534" i="5"/>
  <c r="P535" i="5"/>
  <c r="N535" i="5" l="1"/>
  <c r="M535" i="5"/>
  <c r="L535" i="5"/>
  <c r="P536" i="5"/>
  <c r="N536" i="5" l="1"/>
  <c r="M536" i="5"/>
  <c r="L536" i="5"/>
  <c r="P537" i="5"/>
  <c r="M537" i="5" l="1"/>
  <c r="N537" i="5"/>
  <c r="L537" i="5"/>
  <c r="P538" i="5"/>
  <c r="N538" i="5" l="1"/>
  <c r="M538" i="5"/>
  <c r="L538" i="5"/>
  <c r="P539" i="5"/>
  <c r="N539" i="5" l="1"/>
  <c r="M539" i="5"/>
  <c r="L539" i="5"/>
  <c r="P540" i="5"/>
  <c r="N540" i="5" l="1"/>
  <c r="L540" i="5"/>
  <c r="M540" i="5"/>
  <c r="P541" i="5"/>
  <c r="N541" i="5" l="1"/>
  <c r="L541" i="5"/>
  <c r="M541" i="5"/>
  <c r="P542" i="5"/>
  <c r="N542" i="5" l="1"/>
  <c r="M542" i="5"/>
  <c r="L542" i="5"/>
  <c r="P543" i="5"/>
  <c r="M543" i="5" l="1"/>
  <c r="N543" i="5"/>
  <c r="L543" i="5"/>
  <c r="P544" i="5"/>
  <c r="M544" i="5" l="1"/>
  <c r="N544" i="5"/>
  <c r="L544" i="5"/>
  <c r="P545" i="5"/>
  <c r="M545" i="5" l="1"/>
  <c r="N545" i="5"/>
  <c r="L545" i="5"/>
  <c r="P546" i="5"/>
  <c r="N546" i="5" l="1"/>
  <c r="L546" i="5"/>
  <c r="M546" i="5"/>
  <c r="P547" i="5"/>
  <c r="N547" i="5" l="1"/>
  <c r="L547" i="5"/>
  <c r="M547" i="5"/>
  <c r="P548" i="5"/>
  <c r="N548" i="5" l="1"/>
  <c r="M548" i="5"/>
  <c r="L548" i="5"/>
  <c r="P549" i="5"/>
  <c r="M549" i="5" l="1"/>
  <c r="N549" i="5"/>
  <c r="L549" i="5"/>
  <c r="P550" i="5"/>
  <c r="N550" i="5" l="1"/>
  <c r="L550" i="5"/>
  <c r="M550" i="5"/>
  <c r="P551" i="5"/>
  <c r="N551" i="5" l="1"/>
  <c r="M551" i="5"/>
  <c r="L551" i="5"/>
  <c r="P552" i="5"/>
  <c r="N552" i="5" l="1"/>
  <c r="M552" i="5"/>
  <c r="L552" i="5"/>
  <c r="P553" i="5"/>
  <c r="N553" i="5" l="1"/>
  <c r="L553" i="5"/>
  <c r="M553" i="5"/>
  <c r="P554" i="5"/>
  <c r="M554" i="5" l="1"/>
  <c r="L554" i="5"/>
  <c r="N554" i="5"/>
  <c r="P555" i="5"/>
  <c r="M555" i="5" l="1"/>
  <c r="N555" i="5"/>
  <c r="L555" i="5"/>
  <c r="P556" i="5"/>
  <c r="N556" i="5" l="1"/>
  <c r="L556" i="5"/>
  <c r="M556" i="5"/>
  <c r="P557" i="5"/>
  <c r="N557" i="5" l="1"/>
  <c r="M557" i="5"/>
  <c r="L557" i="5"/>
  <c r="P558" i="5"/>
  <c r="N558" i="5" l="1"/>
  <c r="L558" i="5"/>
  <c r="M558" i="5"/>
  <c r="P559" i="5"/>
  <c r="N559" i="5" l="1"/>
  <c r="M559" i="5"/>
  <c r="L559" i="5"/>
  <c r="P560" i="5"/>
  <c r="N560" i="5" l="1"/>
  <c r="M560" i="5"/>
  <c r="L560" i="5"/>
  <c r="P561" i="5"/>
  <c r="N561" i="5" l="1"/>
  <c r="M561" i="5"/>
  <c r="L561" i="5"/>
  <c r="P562" i="5"/>
  <c r="M562" i="5" l="1"/>
  <c r="N562" i="5"/>
  <c r="L562" i="5"/>
  <c r="P563" i="5"/>
  <c r="N563" i="5" l="1"/>
  <c r="M563" i="5"/>
  <c r="L563" i="5"/>
  <c r="P564" i="5"/>
  <c r="N564" i="5" l="1"/>
  <c r="L564" i="5"/>
  <c r="M564" i="5"/>
  <c r="P565" i="5"/>
  <c r="N565" i="5" l="1"/>
  <c r="L565" i="5"/>
  <c r="M565" i="5"/>
  <c r="P566" i="5"/>
  <c r="M566" i="5" l="1"/>
  <c r="L566" i="5"/>
  <c r="N566" i="5"/>
  <c r="P567" i="5"/>
  <c r="M567" i="5" l="1"/>
  <c r="N567" i="5"/>
  <c r="L567" i="5"/>
  <c r="P568" i="5"/>
  <c r="N568" i="5" l="1"/>
  <c r="L568" i="5"/>
  <c r="M568" i="5"/>
  <c r="P569" i="5"/>
  <c r="N569" i="5" l="1"/>
  <c r="M569" i="5"/>
  <c r="L569" i="5"/>
  <c r="P570" i="5"/>
  <c r="N570" i="5" l="1"/>
  <c r="M570" i="5"/>
  <c r="L570" i="5"/>
  <c r="P571" i="5"/>
  <c r="N571" i="5" l="1"/>
  <c r="M571" i="5"/>
  <c r="L571" i="5"/>
  <c r="P572" i="5"/>
  <c r="N572" i="5" l="1"/>
  <c r="M572" i="5"/>
  <c r="L572" i="5"/>
  <c r="P573" i="5"/>
  <c r="M573" i="5" l="1"/>
  <c r="N573" i="5"/>
  <c r="L573" i="5"/>
  <c r="P574" i="5"/>
  <c r="N574" i="5" l="1"/>
  <c r="M574" i="5"/>
  <c r="L574" i="5"/>
  <c r="P575" i="5"/>
  <c r="N575" i="5" l="1"/>
  <c r="M575" i="5"/>
  <c r="L575" i="5"/>
  <c r="P576" i="5"/>
  <c r="N576" i="5" l="1"/>
  <c r="L576" i="5"/>
  <c r="M576" i="5"/>
  <c r="P577" i="5"/>
  <c r="N577" i="5" l="1"/>
  <c r="L577" i="5"/>
  <c r="M577" i="5"/>
  <c r="P578" i="5"/>
  <c r="M578" i="5" l="1"/>
  <c r="N578" i="5"/>
  <c r="L578" i="5"/>
  <c r="P579" i="5"/>
  <c r="M579" i="5" l="1"/>
  <c r="N579" i="5"/>
  <c r="L579" i="5"/>
  <c r="P580" i="5"/>
  <c r="N580" i="5" l="1"/>
  <c r="M580" i="5"/>
  <c r="L580" i="5"/>
  <c r="P581" i="5"/>
  <c r="N581" i="5" l="1"/>
  <c r="M581" i="5"/>
  <c r="L581" i="5"/>
  <c r="P582" i="5"/>
  <c r="N582" i="5" l="1"/>
  <c r="L582" i="5"/>
  <c r="M582" i="5"/>
  <c r="P583" i="5"/>
  <c r="N583" i="5" l="1"/>
  <c r="L583" i="5"/>
  <c r="M583" i="5"/>
  <c r="P584" i="5"/>
  <c r="N584" i="5" l="1"/>
  <c r="M584" i="5"/>
  <c r="L584" i="5"/>
  <c r="P585" i="5"/>
  <c r="M585" i="5" l="1"/>
  <c r="N585" i="5"/>
  <c r="L585" i="5"/>
  <c r="P586" i="5"/>
  <c r="L586" i="5" l="1"/>
  <c r="M586" i="5"/>
  <c r="N586" i="5"/>
  <c r="P587" i="5"/>
  <c r="N587" i="5" l="1"/>
  <c r="M587" i="5"/>
  <c r="L587" i="5"/>
  <c r="P588" i="5"/>
  <c r="N588" i="5" l="1"/>
  <c r="M588" i="5"/>
  <c r="L588" i="5"/>
  <c r="P589" i="5"/>
  <c r="N589" i="5" l="1"/>
  <c r="L589" i="5"/>
  <c r="M589" i="5"/>
  <c r="P590" i="5"/>
  <c r="N590" i="5" l="1"/>
  <c r="M590" i="5"/>
  <c r="L590" i="5"/>
  <c r="P591" i="5"/>
  <c r="N591" i="5" l="1"/>
  <c r="M591" i="5"/>
  <c r="L591" i="5"/>
  <c r="P592" i="5"/>
  <c r="N592" i="5" l="1"/>
  <c r="M592" i="5"/>
  <c r="L592" i="5"/>
  <c r="P593" i="5"/>
  <c r="N593" i="5" l="1"/>
  <c r="M593" i="5"/>
  <c r="L593" i="5"/>
  <c r="P594" i="5"/>
  <c r="L594" i="5" l="1"/>
  <c r="N594" i="5"/>
  <c r="M594" i="5"/>
  <c r="P595" i="5"/>
  <c r="N595" i="5" l="1"/>
  <c r="M595" i="5"/>
  <c r="L595" i="5"/>
  <c r="P596" i="5"/>
  <c r="N596" i="5" l="1"/>
  <c r="M596" i="5"/>
  <c r="L596" i="5"/>
  <c r="P597" i="5"/>
  <c r="M597" i="5" l="1"/>
  <c r="N597" i="5"/>
  <c r="L597" i="5"/>
  <c r="P598" i="5"/>
  <c r="N598" i="5" l="1"/>
  <c r="M598" i="5"/>
  <c r="L598" i="5"/>
  <c r="P599" i="5"/>
  <c r="N599" i="5" l="1"/>
  <c r="M599" i="5"/>
  <c r="L599" i="5"/>
  <c r="P600" i="5"/>
  <c r="N600" i="5" l="1"/>
  <c r="L600" i="5"/>
  <c r="M600" i="5"/>
  <c r="P601" i="5"/>
  <c r="N601" i="5" l="1"/>
  <c r="L601" i="5"/>
  <c r="M601" i="5"/>
  <c r="P602" i="5"/>
  <c r="N602" i="5" l="1"/>
  <c r="M602" i="5"/>
  <c r="L602" i="5"/>
  <c r="P603" i="5"/>
  <c r="N603" i="5" l="1"/>
  <c r="M603" i="5"/>
  <c r="L603" i="5"/>
  <c r="P604" i="5"/>
  <c r="N604" i="5" l="1"/>
  <c r="L604" i="5"/>
  <c r="M604" i="5"/>
  <c r="P605" i="5"/>
  <c r="M605" i="5" l="1"/>
  <c r="L605" i="5"/>
  <c r="N605" i="5"/>
  <c r="P606" i="5"/>
  <c r="M606" i="5" l="1"/>
  <c r="L606" i="5"/>
  <c r="N606" i="5"/>
  <c r="P607" i="5"/>
  <c r="N607" i="5" l="1"/>
  <c r="M607" i="5"/>
  <c r="L607" i="5"/>
  <c r="P608" i="5"/>
  <c r="N608" i="5" l="1"/>
  <c r="M608" i="5"/>
  <c r="L608" i="5"/>
  <c r="P609" i="5"/>
  <c r="M609" i="5" l="1"/>
  <c r="N609" i="5"/>
  <c r="L609" i="5"/>
  <c r="P610" i="5"/>
  <c r="N610" i="5" l="1"/>
  <c r="M610" i="5"/>
  <c r="L610" i="5"/>
  <c r="P611" i="5"/>
  <c r="N611" i="5" l="1"/>
  <c r="M611" i="5"/>
  <c r="L611" i="5"/>
  <c r="P612" i="5"/>
  <c r="N612" i="5" l="1"/>
  <c r="L612" i="5"/>
  <c r="M612" i="5"/>
  <c r="P613" i="5"/>
  <c r="N613" i="5" l="1"/>
  <c r="L613" i="5"/>
  <c r="M613" i="5"/>
  <c r="P614" i="5"/>
  <c r="M614" i="5" l="1"/>
  <c r="N614" i="5"/>
  <c r="L614" i="5"/>
  <c r="P615" i="5"/>
  <c r="M615" i="5" l="1"/>
  <c r="N615" i="5"/>
  <c r="L615" i="5"/>
  <c r="P616" i="5"/>
  <c r="N616" i="5" l="1"/>
  <c r="M616" i="5"/>
  <c r="L616" i="5"/>
  <c r="P617" i="5"/>
  <c r="N617" i="5" l="1"/>
  <c r="M617" i="5"/>
  <c r="L617" i="5"/>
  <c r="P618" i="5"/>
  <c r="N618" i="5" l="1"/>
  <c r="L618" i="5"/>
  <c r="M618" i="5"/>
  <c r="P619" i="5"/>
  <c r="N619" i="5" l="1"/>
  <c r="L619" i="5"/>
  <c r="M619" i="5"/>
  <c r="P620" i="5"/>
  <c r="N620" i="5" l="1"/>
  <c r="M620" i="5"/>
  <c r="L620" i="5"/>
  <c r="P621" i="5"/>
  <c r="N621" i="5" l="1"/>
  <c r="M621" i="5"/>
  <c r="L621" i="5"/>
  <c r="P622" i="5"/>
  <c r="N622" i="5" l="1"/>
  <c r="M622" i="5"/>
  <c r="L622" i="5"/>
  <c r="P623" i="5"/>
  <c r="N623" i="5" l="1"/>
  <c r="M623" i="5"/>
  <c r="L623" i="5"/>
  <c r="P624" i="5"/>
  <c r="N624" i="5" l="1"/>
  <c r="M624" i="5"/>
  <c r="L624" i="5"/>
  <c r="P625" i="5"/>
  <c r="N625" i="5" l="1"/>
  <c r="L625" i="5"/>
  <c r="M625" i="5"/>
  <c r="P626" i="5"/>
  <c r="M626" i="5" l="1"/>
  <c r="L626" i="5"/>
  <c r="N626" i="5"/>
  <c r="P627" i="5"/>
  <c r="M627" i="5" l="1"/>
  <c r="L627" i="5"/>
  <c r="N627" i="5"/>
  <c r="P628" i="5"/>
  <c r="L628" i="5" l="1"/>
  <c r="M628" i="5"/>
  <c r="N628" i="5"/>
  <c r="P629" i="5"/>
  <c r="N629" i="5" l="1"/>
  <c r="M629" i="5"/>
  <c r="L629" i="5"/>
  <c r="P630" i="5"/>
  <c r="N630" i="5" l="1"/>
  <c r="L630" i="5"/>
  <c r="M630" i="5"/>
  <c r="P631" i="5"/>
  <c r="N631" i="5" l="1"/>
  <c r="M631" i="5"/>
  <c r="L631" i="5"/>
  <c r="P632" i="5"/>
  <c r="N632" i="5" l="1"/>
  <c r="M632" i="5"/>
  <c r="L632" i="5"/>
  <c r="P633" i="5"/>
  <c r="M633" i="5" l="1"/>
  <c r="N633" i="5"/>
  <c r="L633" i="5"/>
  <c r="P634" i="5"/>
  <c r="N634" i="5" l="1"/>
  <c r="M634" i="5"/>
  <c r="L634" i="5"/>
  <c r="P635" i="5"/>
  <c r="N635" i="5" l="1"/>
  <c r="M635" i="5"/>
  <c r="L635" i="5"/>
  <c r="P636" i="5"/>
  <c r="N636" i="5" l="1"/>
  <c r="L636" i="5"/>
  <c r="M636" i="5"/>
  <c r="P637" i="5"/>
  <c r="N637" i="5" l="1"/>
  <c r="L637" i="5"/>
  <c r="M637" i="5"/>
  <c r="P638" i="5"/>
  <c r="P639" i="5"/>
  <c r="M639" i="5" l="1"/>
  <c r="N639" i="5"/>
  <c r="L639" i="5"/>
  <c r="M638" i="5"/>
  <c r="L638" i="5"/>
  <c r="N638" i="5"/>
  <c r="U8" i="12"/>
  <c r="AE8" i="12"/>
  <c r="AF8" i="12" s="1"/>
  <c r="AF12" i="12" l="1"/>
  <c r="AH12" i="12"/>
  <c r="AG12" i="12"/>
  <c r="AF24" i="12"/>
  <c r="AH24" i="12"/>
  <c r="AG24" i="12"/>
  <c r="AH22" i="12"/>
  <c r="AG22" i="12"/>
  <c r="AF22" i="12"/>
  <c r="AF11" i="12"/>
  <c r="AH11" i="12"/>
  <c r="AG11" i="12"/>
  <c r="AH18" i="12"/>
  <c r="AG18" i="12"/>
  <c r="AF18" i="12"/>
  <c r="AH17" i="12"/>
  <c r="AG17" i="12"/>
  <c r="AF17" i="12"/>
  <c r="AH21" i="12"/>
  <c r="AG21" i="12"/>
  <c r="AF21" i="12"/>
  <c r="AH19" i="12"/>
  <c r="AG19" i="12"/>
  <c r="AF19" i="12"/>
  <c r="AG16" i="12"/>
  <c r="AF16" i="12"/>
  <c r="AH16" i="12"/>
  <c r="AF23" i="12"/>
  <c r="AH23" i="12"/>
  <c r="AG23" i="12"/>
  <c r="AG15" i="12"/>
  <c r="AF15" i="12"/>
  <c r="AH15" i="12"/>
  <c r="AF14" i="12"/>
  <c r="AH14" i="12"/>
  <c r="AG14" i="12"/>
  <c r="AH20" i="12"/>
  <c r="AG20" i="12"/>
  <c r="AF20" i="12"/>
  <c r="AF25" i="12"/>
  <c r="AH25" i="12"/>
  <c r="AG25" i="12"/>
  <c r="AF13" i="12"/>
  <c r="AH13" i="12"/>
  <c r="AG13" i="12"/>
  <c r="AF10" i="12"/>
  <c r="AH10" i="12"/>
  <c r="AG10" i="12"/>
  <c r="AG9" i="12"/>
  <c r="AF9" i="12"/>
  <c r="AH9" i="12"/>
  <c r="AG8" i="12"/>
  <c r="AH8" i="12"/>
  <c r="AI9" i="12" l="1"/>
  <c r="AI10" i="12"/>
  <c r="AI11" i="12"/>
  <c r="AI8" i="12"/>
  <c r="T19" i="11" l="1"/>
  <c r="M19" i="11"/>
  <c r="F19" i="11"/>
  <c r="K12" i="11"/>
  <c r="X7" i="15" l="1"/>
  <c r="Y7" i="15" s="1"/>
  <c r="N7" i="15"/>
  <c r="N19" i="11"/>
  <c r="H19" i="11"/>
  <c r="G19" i="11"/>
  <c r="V19" i="11"/>
  <c r="U19" i="11"/>
  <c r="J26" i="11" s="1"/>
  <c r="L26" i="11" s="1"/>
  <c r="M26" i="11" s="1"/>
  <c r="O19" i="11"/>
  <c r="M33" i="11"/>
  <c r="K33" i="11"/>
  <c r="L33" i="11"/>
  <c r="J33" i="11"/>
  <c r="I33" i="11"/>
  <c r="H33" i="11"/>
  <c r="F33" i="11"/>
  <c r="E33" i="11"/>
  <c r="G33" i="11"/>
  <c r="D33" i="11"/>
  <c r="C33" i="11"/>
  <c r="B33" i="11"/>
  <c r="V14" i="12"/>
  <c r="W14" i="12"/>
  <c r="X14" i="12"/>
  <c r="X11" i="12"/>
  <c r="V11" i="12"/>
  <c r="W11" i="12"/>
  <c r="X12" i="12"/>
  <c r="V12" i="12"/>
  <c r="W12" i="12"/>
  <c r="W10" i="12"/>
  <c r="X10" i="12"/>
  <c r="V10" i="12"/>
  <c r="W24" i="12"/>
  <c r="X24" i="12"/>
  <c r="V24" i="12"/>
  <c r="W21" i="12"/>
  <c r="X21" i="12"/>
  <c r="V21" i="12"/>
  <c r="W9" i="12"/>
  <c r="X9" i="12"/>
  <c r="V9" i="12"/>
  <c r="V22" i="12"/>
  <c r="W22" i="12"/>
  <c r="X22" i="12"/>
  <c r="W20" i="12"/>
  <c r="X20" i="12"/>
  <c r="V20" i="12"/>
  <c r="V25" i="12"/>
  <c r="W25" i="12"/>
  <c r="X25" i="12"/>
  <c r="W23" i="12"/>
  <c r="X23" i="12"/>
  <c r="V23" i="12"/>
  <c r="X8" i="12"/>
  <c r="V8" i="12"/>
  <c r="W8" i="12"/>
  <c r="V19" i="12"/>
  <c r="W19" i="12"/>
  <c r="X19" i="12"/>
  <c r="V15" i="12"/>
  <c r="W15" i="12"/>
  <c r="X15" i="12"/>
  <c r="V18" i="12"/>
  <c r="W18" i="12"/>
  <c r="X18" i="12"/>
  <c r="W16" i="12"/>
  <c r="X16" i="12"/>
  <c r="V16" i="12"/>
  <c r="W13" i="12"/>
  <c r="V13" i="12"/>
  <c r="X13" i="12"/>
  <c r="X17" i="12"/>
  <c r="V17" i="12"/>
  <c r="W17" i="12"/>
  <c r="AL10" i="12" l="1"/>
  <c r="AL9" i="12"/>
  <c r="Y10" i="12"/>
  <c r="O7" i="15"/>
  <c r="J22" i="9"/>
  <c r="AA7" i="15"/>
  <c r="AB7" i="15" s="1"/>
  <c r="AC7" i="15" s="1"/>
  <c r="AD7" i="15" s="1"/>
  <c r="AF7" i="15"/>
  <c r="AG7" i="15" s="1"/>
  <c r="AH7" i="15" s="1"/>
  <c r="AI7" i="15" s="1"/>
  <c r="AK7" i="15"/>
  <c r="AL7" i="15" s="1"/>
  <c r="AM7" i="15" s="1"/>
  <c r="F26" i="11"/>
  <c r="N26" i="11" s="1"/>
  <c r="E4" i="9" s="1"/>
  <c r="Y11" i="12"/>
  <c r="AJ11" i="12" s="1"/>
  <c r="Y9" i="12"/>
  <c r="K26" i="11"/>
  <c r="AJ10" i="12"/>
  <c r="Y8" i="12"/>
  <c r="AK10" i="12" l="1"/>
  <c r="BB10" i="12"/>
  <c r="BC10" i="12" s="1"/>
  <c r="H26" i="11"/>
  <c r="J19" i="9"/>
  <c r="J17" i="9"/>
  <c r="J24" i="9"/>
  <c r="J26" i="9"/>
  <c r="AL8" i="12"/>
  <c r="AJ9" i="12"/>
  <c r="O26" i="11"/>
  <c r="B26" i="11"/>
  <c r="F12" i="11"/>
  <c r="B8" i="14"/>
  <c r="O8" i="14" s="1"/>
  <c r="B9" i="14"/>
  <c r="O9" i="14" s="1"/>
  <c r="B10" i="14"/>
  <c r="O10" i="14" s="1"/>
  <c r="B11" i="14"/>
  <c r="O11" i="14" s="1"/>
  <c r="B12" i="14"/>
  <c r="O12" i="14" s="1"/>
  <c r="B13" i="14"/>
  <c r="O13" i="14" s="1"/>
  <c r="B14" i="14"/>
  <c r="O14" i="14" s="1"/>
  <c r="B15" i="14"/>
  <c r="O15" i="14" s="1"/>
  <c r="B16" i="14"/>
  <c r="O16" i="14" s="1"/>
  <c r="B17" i="14"/>
  <c r="O17" i="14" s="1"/>
  <c r="B18" i="14"/>
  <c r="O18" i="14" s="1"/>
  <c r="B19" i="14"/>
  <c r="O19" i="14" s="1"/>
  <c r="B20" i="14"/>
  <c r="O20" i="14" s="1"/>
  <c r="B21" i="14"/>
  <c r="O21" i="14" s="1"/>
  <c r="B22" i="14"/>
  <c r="O22" i="14" s="1"/>
  <c r="B23" i="14"/>
  <c r="O23" i="14" s="1"/>
  <c r="B24" i="14"/>
  <c r="O24" i="14" s="1"/>
  <c r="B25" i="14"/>
  <c r="O25" i="14" s="1"/>
  <c r="B26" i="14"/>
  <c r="O26" i="14" s="1"/>
  <c r="B27" i="14"/>
  <c r="O27" i="14" s="1"/>
  <c r="B28" i="14"/>
  <c r="O28" i="14" s="1"/>
  <c r="B29" i="14"/>
  <c r="O29" i="14" s="1"/>
  <c r="B46" i="14"/>
  <c r="O46" i="14" s="1"/>
  <c r="B47" i="14"/>
  <c r="O47" i="14" s="1"/>
  <c r="B48" i="14"/>
  <c r="O48" i="14" s="1"/>
  <c r="B49" i="14"/>
  <c r="O49" i="14" s="1"/>
  <c r="B50" i="14"/>
  <c r="O50" i="14" s="1"/>
  <c r="B51" i="14"/>
  <c r="O51" i="14" s="1"/>
  <c r="B52" i="14"/>
  <c r="O52" i="14" s="1"/>
  <c r="B53" i="14"/>
  <c r="O53" i="14" s="1"/>
  <c r="B54" i="14"/>
  <c r="O54" i="14" s="1"/>
  <c r="B55" i="14"/>
  <c r="O55" i="14" s="1"/>
  <c r="B7" i="14"/>
  <c r="O7" i="14" s="1"/>
  <c r="AJ8" i="12" l="1"/>
  <c r="AK9" i="12"/>
  <c r="AK8" i="12" s="1"/>
  <c r="P26" i="11"/>
  <c r="Q26" i="11" s="1"/>
  <c r="W22" i="14"/>
  <c r="U22" i="14"/>
  <c r="W51" i="14"/>
  <c r="U51" i="14"/>
  <c r="W48" i="14"/>
  <c r="U48" i="14"/>
  <c r="W19" i="14"/>
  <c r="U19" i="14"/>
  <c r="W53" i="14"/>
  <c r="U53" i="14"/>
  <c r="W21" i="14"/>
  <c r="U21" i="14"/>
  <c r="W47" i="14"/>
  <c r="U47" i="14"/>
  <c r="W46" i="14"/>
  <c r="U46" i="14"/>
  <c r="U18" i="14"/>
  <c r="W18" i="14"/>
  <c r="W52" i="14"/>
  <c r="U52" i="14"/>
  <c r="W49" i="14"/>
  <c r="U49" i="14"/>
  <c r="W29" i="14"/>
  <c r="U29" i="14"/>
  <c r="W17" i="14"/>
  <c r="U17" i="14"/>
  <c r="W28" i="14"/>
  <c r="U28" i="14"/>
  <c r="W16" i="14"/>
  <c r="U16" i="14"/>
  <c r="W50" i="14"/>
  <c r="U50" i="14"/>
  <c r="U20" i="14"/>
  <c r="W20" i="14"/>
  <c r="W55" i="14"/>
  <c r="U55" i="14"/>
  <c r="W27" i="14"/>
  <c r="U27" i="14"/>
  <c r="W15" i="14"/>
  <c r="U15" i="14"/>
  <c r="U54" i="14"/>
  <c r="W54" i="14"/>
  <c r="W26" i="14"/>
  <c r="U26" i="14"/>
  <c r="W14" i="14"/>
  <c r="U14" i="14"/>
  <c r="W25" i="14"/>
  <c r="U25" i="14"/>
  <c r="W24" i="14"/>
  <c r="U24" i="14"/>
  <c r="W23" i="14"/>
  <c r="U23" i="14"/>
  <c r="P8" i="14"/>
  <c r="Y53" i="14"/>
  <c r="V53" i="14"/>
  <c r="P53" i="14"/>
  <c r="Y52" i="14"/>
  <c r="V52" i="14"/>
  <c r="P52" i="14"/>
  <c r="V23" i="14"/>
  <c r="Y23" i="14"/>
  <c r="P23" i="14"/>
  <c r="Y19" i="14"/>
  <c r="V19" i="14"/>
  <c r="P19" i="14"/>
  <c r="Y25" i="14"/>
  <c r="V25" i="14"/>
  <c r="P25" i="14"/>
  <c r="Y51" i="14"/>
  <c r="V51" i="14"/>
  <c r="P51" i="14"/>
  <c r="Y22" i="14"/>
  <c r="V22" i="14"/>
  <c r="P22" i="14"/>
  <c r="Y21" i="14"/>
  <c r="V21" i="14"/>
  <c r="P21" i="14"/>
  <c r="Y47" i="14"/>
  <c r="V47" i="14"/>
  <c r="P47" i="14"/>
  <c r="Y18" i="14"/>
  <c r="V18" i="14"/>
  <c r="P18" i="14"/>
  <c r="P9" i="14"/>
  <c r="Y9" i="14"/>
  <c r="Y46" i="14"/>
  <c r="V46" i="14"/>
  <c r="P46" i="14"/>
  <c r="Y29" i="14"/>
  <c r="V29" i="14"/>
  <c r="P29" i="14"/>
  <c r="Y17" i="14"/>
  <c r="V17" i="14"/>
  <c r="P17" i="14"/>
  <c r="P7" i="14"/>
  <c r="Y28" i="14"/>
  <c r="V28" i="14"/>
  <c r="P28" i="14"/>
  <c r="Y16" i="14"/>
  <c r="V16" i="14"/>
  <c r="P16" i="14"/>
  <c r="P10" i="14"/>
  <c r="Y10" i="14"/>
  <c r="Y48" i="14"/>
  <c r="V48" i="14"/>
  <c r="P48" i="14"/>
  <c r="Y55" i="14"/>
  <c r="V55" i="14"/>
  <c r="P55" i="14"/>
  <c r="V27" i="14"/>
  <c r="Y27" i="14"/>
  <c r="P27" i="14"/>
  <c r="Y15" i="14"/>
  <c r="V15" i="14"/>
  <c r="P15" i="14"/>
  <c r="Y24" i="14"/>
  <c r="V24" i="14"/>
  <c r="P24" i="14"/>
  <c r="Y50" i="14"/>
  <c r="V50" i="14"/>
  <c r="P50" i="14"/>
  <c r="V49" i="14"/>
  <c r="Y49" i="14"/>
  <c r="P49" i="14"/>
  <c r="Y20" i="14"/>
  <c r="V20" i="14"/>
  <c r="P20" i="14"/>
  <c r="Y54" i="14"/>
  <c r="V54" i="14"/>
  <c r="P54" i="14"/>
  <c r="V26" i="14"/>
  <c r="Y26" i="14"/>
  <c r="P26" i="14"/>
  <c r="Y14" i="14"/>
  <c r="V14" i="14"/>
  <c r="P14" i="14"/>
  <c r="Y12" i="14"/>
  <c r="V12" i="14"/>
  <c r="W12" i="14" s="1"/>
  <c r="P12" i="14"/>
  <c r="Y11" i="14"/>
  <c r="P11" i="14"/>
  <c r="Q7" i="14"/>
  <c r="R7" i="14" s="1"/>
  <c r="P13" i="14"/>
  <c r="D4" i="9"/>
  <c r="F4" i="9" s="1"/>
  <c r="D26" i="11"/>
  <c r="R46" i="14"/>
  <c r="Q46" i="14"/>
  <c r="R18" i="14"/>
  <c r="Q18" i="14"/>
  <c r="R15" i="14"/>
  <c r="Q15" i="14"/>
  <c r="R16" i="14"/>
  <c r="Q16" i="14"/>
  <c r="R26" i="14"/>
  <c r="Q26" i="14"/>
  <c r="R17" i="14"/>
  <c r="Q17" i="14"/>
  <c r="R52" i="14"/>
  <c r="Q52" i="14"/>
  <c r="R24" i="14"/>
  <c r="Q24" i="14"/>
  <c r="Q12" i="14"/>
  <c r="R29" i="14"/>
  <c r="Q29" i="14"/>
  <c r="R14" i="14"/>
  <c r="Q14" i="14"/>
  <c r="R51" i="14"/>
  <c r="Q51" i="14"/>
  <c r="R23" i="14"/>
  <c r="Q23" i="14"/>
  <c r="R28" i="14"/>
  <c r="Q28" i="14"/>
  <c r="Q55" i="14"/>
  <c r="R55" i="14"/>
  <c r="R54" i="14"/>
  <c r="Q54" i="14"/>
  <c r="Q13" i="14"/>
  <c r="R13" i="14" s="1"/>
  <c r="R50" i="14"/>
  <c r="Q50" i="14"/>
  <c r="R22" i="14"/>
  <c r="Q22" i="14"/>
  <c r="Q10" i="14"/>
  <c r="R53" i="14"/>
  <c r="Q53" i="14"/>
  <c r="R25" i="14"/>
  <c r="Q25" i="14"/>
  <c r="R49" i="14"/>
  <c r="Q49" i="14"/>
  <c r="R21" i="14"/>
  <c r="Q21" i="14"/>
  <c r="Q9" i="14"/>
  <c r="R27" i="14"/>
  <c r="Q27" i="14"/>
  <c r="R48" i="14"/>
  <c r="Q48" i="14"/>
  <c r="R20" i="14"/>
  <c r="Q20" i="14"/>
  <c r="R47" i="14"/>
  <c r="Q47" i="14"/>
  <c r="Q19" i="14"/>
  <c r="R19" i="14"/>
  <c r="C26" i="11"/>
  <c r="G26" i="11"/>
  <c r="B1" i="2"/>
  <c r="A1" i="2"/>
  <c r="BB9" i="12" l="1"/>
  <c r="H4" i="9"/>
  <c r="T7" i="14"/>
  <c r="T13" i="14"/>
  <c r="E26" i="11"/>
  <c r="G4" i="9"/>
  <c r="AQ10" i="12"/>
  <c r="AQ9" i="12"/>
  <c r="R12" i="14"/>
  <c r="AQ11" i="12"/>
  <c r="R10" i="14"/>
  <c r="R9" i="14"/>
  <c r="I26" i="11"/>
  <c r="BC9" i="12" l="1"/>
  <c r="BB8" i="12"/>
  <c r="BC8" i="12" s="1"/>
  <c r="V13" i="14"/>
  <c r="W13" i="14" s="1"/>
  <c r="Y13" i="14" s="1"/>
  <c r="U7" i="14"/>
  <c r="U12" i="14"/>
  <c r="T10" i="14"/>
  <c r="U13" i="14"/>
  <c r="V7" i="14"/>
  <c r="W7" i="14" s="1"/>
  <c r="T9" i="14"/>
  <c r="AQ8" i="12"/>
  <c r="I4" i="9"/>
  <c r="V9" i="14" l="1"/>
  <c r="W9" i="14"/>
  <c r="V10" i="14"/>
  <c r="W10" i="14" s="1"/>
  <c r="U10" i="14"/>
  <c r="U9" i="14"/>
  <c r="D16" i="9" l="1"/>
  <c r="E17" i="9" l="1"/>
  <c r="G17" i="9" l="1"/>
  <c r="F16" i="9"/>
  <c r="Y7" i="14" l="1"/>
  <c r="AY9" i="12" s="1"/>
  <c r="Q11" i="14" l="1"/>
  <c r="R11" i="14" s="1"/>
  <c r="T11" i="14" l="1"/>
  <c r="U11" i="14" l="1"/>
  <c r="AS11" i="12"/>
  <c r="BF11" i="12"/>
  <c r="BG11" i="12" s="1"/>
  <c r="V11" i="14"/>
  <c r="AT11" i="12" s="1"/>
  <c r="F17" i="9" s="1"/>
  <c r="G9" i="9" s="1"/>
  <c r="G10" i="9" s="1"/>
  <c r="W11" i="14" l="1"/>
  <c r="AU11" i="12"/>
  <c r="AV11" i="12" s="1"/>
  <c r="D17" i="9"/>
  <c r="D9" i="9" l="1"/>
  <c r="D10" i="9" s="1"/>
  <c r="AW11" i="12"/>
  <c r="Q8" i="14"/>
  <c r="BA11" i="12" l="1"/>
  <c r="R8" i="14"/>
  <c r="T8" i="14" l="1"/>
  <c r="AS10" i="12" l="1"/>
  <c r="BF10" i="12"/>
  <c r="BG10" i="12" s="1"/>
  <c r="V8" i="14"/>
  <c r="AS9" i="12"/>
  <c r="BF9" i="12"/>
  <c r="U8" i="14"/>
  <c r="AT9" i="12" l="1"/>
  <c r="AT10" i="12"/>
  <c r="G16" i="9" s="1"/>
  <c r="AX10" i="12"/>
  <c r="AU10" i="12"/>
  <c r="AV10" i="12" s="1"/>
  <c r="AW10" i="12" s="1"/>
  <c r="E16" i="9"/>
  <c r="AS8" i="12"/>
  <c r="AX8" i="12" s="1"/>
  <c r="AX9" i="12"/>
  <c r="W8" i="14"/>
  <c r="Y8" i="14" s="1"/>
  <c r="AY10" i="12" s="1"/>
  <c r="AY8" i="12" s="1"/>
  <c r="G15" i="9"/>
  <c r="BG9" i="12"/>
  <c r="BF8" i="12"/>
  <c r="BG8" i="12" s="1"/>
  <c r="E15" i="9"/>
  <c r="AU9" i="12"/>
  <c r="AV9" i="12" s="1"/>
  <c r="H9" i="9" l="1"/>
  <c r="H10" i="9" s="1"/>
  <c r="AZ9" i="12"/>
  <c r="BD9" i="12" s="1"/>
  <c r="H15" i="9" s="1"/>
  <c r="I9" i="9"/>
  <c r="I10" i="9" s="1"/>
  <c r="AZ10" i="12"/>
  <c r="BA10" i="12" s="1"/>
  <c r="AT8" i="12"/>
  <c r="AU8" i="12"/>
  <c r="AV8" i="12" s="1"/>
  <c r="AW8" i="12" s="1"/>
  <c r="BH8" i="12"/>
  <c r="J9" i="9" s="1"/>
  <c r="E9" i="9"/>
  <c r="AW9" i="12"/>
  <c r="BD10" i="12" l="1"/>
  <c r="H16" i="9" s="1"/>
  <c r="BD8" i="12"/>
  <c r="F9" i="9"/>
  <c r="F10" i="9" s="1"/>
  <c r="BA9" i="12"/>
  <c r="E10" i="9"/>
  <c r="K9" i="9"/>
</calcChain>
</file>

<file path=xl/sharedStrings.xml><?xml version="1.0" encoding="utf-8"?>
<sst xmlns="http://schemas.openxmlformats.org/spreadsheetml/2006/main" count="713" uniqueCount="316">
  <si>
    <r>
      <rPr>
        <b/>
        <sz val="12"/>
        <color theme="1"/>
        <rFont val="Calibri"/>
        <family val="2"/>
        <scheme val="minor"/>
      </rPr>
      <t>Color Key Note:</t>
    </r>
    <r>
      <rPr>
        <sz val="12"/>
        <color theme="1"/>
        <rFont val="Calibri"/>
        <family val="2"/>
        <scheme val="minor"/>
      </rPr>
      <t xml:space="preserve"> Cells in white require data entry when applicable. Cells in blue are automatically calculated.</t>
    </r>
  </si>
  <si>
    <t>Compliance Check Summary Sheet</t>
  </si>
  <si>
    <t>Summary of Site Compliance by Total Site and Individual SDA</t>
  </si>
  <si>
    <t>No data is entered in this sheet.</t>
  </si>
  <si>
    <t>Enter data into sheets in the following sheet order.</t>
  </si>
  <si>
    <t>Natural land cover</t>
  </si>
  <si>
    <t>Compacted land cover</t>
  </si>
  <si>
    <t>Includes landscaped planting beds, lawns, and managed turf.</t>
  </si>
  <si>
    <t>Impervious land cover</t>
  </si>
  <si>
    <t>Roof, patio, deck, parking, sidewalk, driveway, etc. Impervious land cover does not include BMP surface area.</t>
  </si>
  <si>
    <t>BMP Land Cover</t>
  </si>
  <si>
    <t>Surface area of green infrastructure BMPs such as green roofs, bioretention, or permeable pavement.</t>
  </si>
  <si>
    <t>Vehicular Access Area</t>
  </si>
  <si>
    <t xml:space="preserve">Any space intended for the use or storage of vehicles and is a sub-set of impervious area. For example, if 2,500 square feet of parking lot was the only impervious area in a project, it would be entered as 2,500 in the Impervious column and 2,500 in the Vehicular Access Area column. </t>
  </si>
  <si>
    <t>Enter SDA data prior to entering BMP data.</t>
  </si>
  <si>
    <t>Public Right of Way</t>
  </si>
  <si>
    <t xml:space="preserve">Select whether or not the Site Drainage Area is within the Public Right of Way (PROW). Stormwater retention volume (SWRv) is required to the maximum extent practicable (MEP) in the PROW. If actual SWRv does not meet required SWRv, follow DOEE MEP proceure. </t>
  </si>
  <si>
    <t>For each Site Drainage Area, enter the pre- and post-project land cover (existing and proposed conditions)</t>
  </si>
  <si>
    <t>Surface area of green infrastructure practices such as green roofs, bioretention, or permeable pavement.</t>
  </si>
  <si>
    <t>Enter BMP data after entering SDA data.</t>
  </si>
  <si>
    <t>Enter each individual BMP on a separate line. Each BMP, with its contributing drainage area and storage volume, must be submitted as a distinct practice. If a site drainage area has multiple practices of the same type, you may not combine them onto a single line. When trees are planted in a bioretention area, you must enter the trees on a separate line from the bioretention.</t>
  </si>
  <si>
    <t>Site Drainage Area Number</t>
  </si>
  <si>
    <t>From dropdown list, select the Drainage Area Number (entered on the Site Drainage Areas sheet) for the site drainage area where this BMP is located.</t>
  </si>
  <si>
    <t>BMP Number</t>
  </si>
  <si>
    <t xml:space="preserve">For each SDA, number each BMP incrementally beginning with 1. Do not skip or duplicate any values within a particular SDA (BMPs should be numbered 1, 2, 3, etc. in each SDA). </t>
  </si>
  <si>
    <t>BMP Name</t>
  </si>
  <si>
    <t>Optional descriptive text name. Value entered is stored in the Stormwater Database for information only.</t>
  </si>
  <si>
    <t>BMP Group</t>
  </si>
  <si>
    <t xml:space="preserve">Select from dropdown list. Please refer to the Stormwater Management Guidebook, Chapter 3, for assistance in determining the BMP Group. </t>
  </si>
  <si>
    <t>BMP Type</t>
  </si>
  <si>
    <t xml:space="preserve">Select from dropdown list. Please refer to the Stormwater Management Guidebook, Chapter 3, for assistance in determining the BMP Type. </t>
  </si>
  <si>
    <t>Number of trees</t>
  </si>
  <si>
    <t>Enter integer value only for tree planting and/or preservation BMPs</t>
  </si>
  <si>
    <t xml:space="preserve">Enter the pre- and post-project land cover (existing and proposed conditions) within the BMP’s contributing drainage area </t>
  </si>
  <si>
    <t xml:space="preserve">Any space intended for the use or storage of vehicles and is considered a sub-set of impervious area. For example, 100 square feet of roadway would be entered as 100 in the Impervious column and 100 in the Vehicular Access Area column. </t>
  </si>
  <si>
    <t>Fields required to complete this sheet vary based on BMP type</t>
  </si>
  <si>
    <t>Storage Volume Provided by BMP</t>
  </si>
  <si>
    <t>Downstream BMP</t>
  </si>
  <si>
    <t>From dropdownlist, select downstream BMP if applicable. Dropdownlist is generated from BMPs entered in this sheet.</t>
  </si>
  <si>
    <t>Complete this sheet last.</t>
  </si>
  <si>
    <t>For Total Disturbed Site, enter the pre- and post-project land cover curve numbers (CN) (existing and proposed conditions).</t>
  </si>
  <si>
    <t>CN-Natural land cover</t>
  </si>
  <si>
    <t>Typically 70</t>
  </si>
  <si>
    <t>CN-Compacted land cover</t>
  </si>
  <si>
    <t>Typically 74</t>
  </si>
  <si>
    <t>CN-Impervious land cover</t>
  </si>
  <si>
    <t>Typically 98</t>
  </si>
  <si>
    <t>CN-BMP Land Cover</t>
  </si>
  <si>
    <t>Requirements Summary</t>
  </si>
  <si>
    <t>PROW SWRv</t>
  </si>
  <si>
    <t>Parcel SWRv</t>
  </si>
  <si>
    <t>Total SWRv</t>
  </si>
  <si>
    <t>PROW WQTv</t>
  </si>
  <si>
    <t>Parcel WQTv</t>
  </si>
  <si>
    <t>Total WQTv</t>
  </si>
  <si>
    <t>cubic feet</t>
  </si>
  <si>
    <t>Site Total</t>
  </si>
  <si>
    <t>Total Volume Retained in PROW</t>
  </si>
  <si>
    <t>Total Volume Retained in Parcel</t>
  </si>
  <si>
    <t>Total Volume Retained On Site</t>
  </si>
  <si>
    <t>Total Volume Treated in PROW</t>
  </si>
  <si>
    <t>Excess Volume that May be Eligible for SRCs</t>
  </si>
  <si>
    <t>Offv</t>
  </si>
  <si>
    <t>gallons</t>
  </si>
  <si>
    <t>% of Requirement Met On Site</t>
  </si>
  <si>
    <t>Site Drainage Areas</t>
  </si>
  <si>
    <t>Is SDA in Public Right of Way?</t>
  </si>
  <si>
    <t>Volume Retained in PROW</t>
  </si>
  <si>
    <t>Volume Retained in Parcel</t>
  </si>
  <si>
    <t>Volume Treated in PROW</t>
  </si>
  <si>
    <t>Volume Treated in Parcel</t>
  </si>
  <si>
    <t>Yes/No</t>
  </si>
  <si>
    <t>Site Information</t>
  </si>
  <si>
    <t>SWMP Number</t>
  </si>
  <si>
    <t>Site Name</t>
  </si>
  <si>
    <t>Is Site an "AWDZ Site"?</t>
  </si>
  <si>
    <t>Is Site Located in the MS4, CSS w/ GI, or CSS w/ tunnels?</t>
  </si>
  <si>
    <t>Text</t>
  </si>
  <si>
    <t>yes/no</t>
  </si>
  <si>
    <t>Select from list</t>
  </si>
  <si>
    <t>Pre-Project</t>
  </si>
  <si>
    <t>Disturbed Public ROW</t>
  </si>
  <si>
    <t>Natural Cover Area</t>
  </si>
  <si>
    <t>Compacted Cover Area</t>
  </si>
  <si>
    <t>Impervious Cover Area</t>
  </si>
  <si>
    <t>BMP Cover Area</t>
  </si>
  <si>
    <t>square feet</t>
  </si>
  <si>
    <t>Post-Project</t>
  </si>
  <si>
    <t>Major Land Disturbing</t>
  </si>
  <si>
    <t>Major Substantantial Improvement</t>
  </si>
  <si>
    <t>Retention Standard for SWRv</t>
  </si>
  <si>
    <t>% Natural Cover</t>
  </si>
  <si>
    <t>% Compacted Cover</t>
  </si>
  <si>
    <t>% Impervious Cover</t>
  </si>
  <si>
    <t>Site Rv</t>
  </si>
  <si>
    <t>inches</t>
  </si>
  <si>
    <t>Percent</t>
  </si>
  <si>
    <t>Disturbed Public Right of Way</t>
  </si>
  <si>
    <t>Stormwater Retention Volume, SWRv</t>
  </si>
  <si>
    <t>Water Quality Treatment Volume, WQTv</t>
  </si>
  <si>
    <t xml:space="preserve">Water Quality Treatment Volume, WQTv </t>
  </si>
  <si>
    <t xml:space="preserve"> </t>
  </si>
  <si>
    <t>Pre-Construction Land Cover</t>
  </si>
  <si>
    <t>Post Construction Land Cover</t>
  </si>
  <si>
    <t>Post Construction Summary</t>
  </si>
  <si>
    <t>Major Land Disturbing or Public Right of Way</t>
  </si>
  <si>
    <t>Major Substantial Improvement</t>
  </si>
  <si>
    <t>Target Volumes</t>
  </si>
  <si>
    <t>Totals of All BMPS in Each Drainage Area (Inside LOD only)</t>
  </si>
  <si>
    <t>In Public Right of Way?</t>
  </si>
  <si>
    <t>Drainage Area Total</t>
  </si>
  <si>
    <t>Vehicular Access Area (include in impervious cover area-MS4 Only)</t>
  </si>
  <si>
    <t>Vehicular Access Volume</t>
  </si>
  <si>
    <t>Vehicular Access Area (include in impervious cover area)</t>
  </si>
  <si>
    <t>Volume Stored On Site</t>
  </si>
  <si>
    <t>Volume Retained On Site</t>
  </si>
  <si>
    <t>Volume Treated</t>
  </si>
  <si>
    <t xml:space="preserve">Retention Volume Remaining </t>
  </si>
  <si>
    <t>Retention Volume Remaining</t>
  </si>
  <si>
    <t>SWRv met?</t>
  </si>
  <si>
    <t>At least 50% of SWRv Retained?</t>
  </si>
  <si>
    <t>Runoff from Vehicular Access Areas Sufficiently Retained or Treated?</t>
  </si>
  <si>
    <t xml:space="preserve">Volume Remaining to Treat 50% of the SWRv </t>
  </si>
  <si>
    <t xml:space="preserve">Volume Remaining to Treat WQTv </t>
  </si>
  <si>
    <t>Minimum Requirements for Drainage Area Met?</t>
  </si>
  <si>
    <t>Available SRCs</t>
  </si>
  <si>
    <t>select yes/no</t>
  </si>
  <si>
    <t>Contributing Drainage Area</t>
  </si>
  <si>
    <t>Inside LOD</t>
  </si>
  <si>
    <t>BMP ID Number</t>
  </si>
  <si>
    <t>BMP Name (optional)</t>
  </si>
  <si>
    <t>Number of trees (Only for Tree Planting and Preservation)</t>
  </si>
  <si>
    <t>Maximum Retention Volume Received by BMP (without other BMP contributions)</t>
  </si>
  <si>
    <t>Maximum Retention Volume Received from Upstream BMPs in Drainage Area</t>
  </si>
  <si>
    <t>Total Maximum Retention Volume To BMP</t>
  </si>
  <si>
    <t>Potential Retention Volume Remaining</t>
  </si>
  <si>
    <t>Additional Treatment Volume</t>
  </si>
  <si>
    <t>Total Volume Retained and Treated</t>
  </si>
  <si>
    <t>Vehicular Access Volume Addressed?</t>
  </si>
  <si>
    <t>Auto-generated</t>
  </si>
  <si>
    <t>Enter Integer</t>
  </si>
  <si>
    <t>Select from drop down list</t>
  </si>
  <si>
    <t>drop down list of BMPs entered</t>
  </si>
  <si>
    <t>calculated</t>
  </si>
  <si>
    <t>user entry if needed</t>
  </si>
  <si>
    <t>Site</t>
  </si>
  <si>
    <t>Pre-Development Land Cover</t>
  </si>
  <si>
    <t>Post-Development Land Cover</t>
  </si>
  <si>
    <t>2-year storm depth</t>
  </si>
  <si>
    <t>15-year storm depth</t>
  </si>
  <si>
    <t>100-year storm depth</t>
  </si>
  <si>
    <t>In PROW?</t>
  </si>
  <si>
    <t>Storage Volume Provided By BMPs</t>
  </si>
  <si>
    <t>Natural CN</t>
  </si>
  <si>
    <t>Compacted CN</t>
  </si>
  <si>
    <t>Impervious CN</t>
  </si>
  <si>
    <t>BMP CN</t>
  </si>
  <si>
    <t>Weighted CN</t>
  </si>
  <si>
    <t>S</t>
  </si>
  <si>
    <t>Rainfall Depth</t>
  </si>
  <si>
    <t>Runoff with no BMPs</t>
  </si>
  <si>
    <t>Runoff with BMPs</t>
  </si>
  <si>
    <t>Adjusted CN</t>
  </si>
  <si>
    <t>integer</t>
  </si>
  <si>
    <t>Calculated</t>
  </si>
  <si>
    <t>user entry (within parameters)</t>
  </si>
  <si>
    <t>user entry</t>
  </si>
  <si>
    <t>Total Site</t>
  </si>
  <si>
    <t>Yes</t>
  </si>
  <si>
    <t>No</t>
  </si>
  <si>
    <t>CSS w/ GI</t>
  </si>
  <si>
    <t>CSS w/ tunnels</t>
  </si>
  <si>
    <t>N/A</t>
  </si>
  <si>
    <t>Lookup Table for Curve Numbers</t>
  </si>
  <si>
    <t>v (in)</t>
  </si>
  <si>
    <t>CN</t>
  </si>
  <si>
    <t>Anacostia</t>
  </si>
  <si>
    <t>Potomac</t>
  </si>
  <si>
    <t>Rock Creek</t>
  </si>
  <si>
    <t>More than one major drainage basin</t>
  </si>
  <si>
    <t>More than one minor drainage basin</t>
  </si>
  <si>
    <t>Fort Chaplin Tributary</t>
  </si>
  <si>
    <t>Battery Kemble</t>
  </si>
  <si>
    <t>Bingham Run</t>
  </si>
  <si>
    <t>Fort Davis Tributary</t>
  </si>
  <si>
    <t>Dalecarlia Tributary</t>
  </si>
  <si>
    <t>Blagden Run</t>
  </si>
  <si>
    <t>Fort Dupont Tributary</t>
  </si>
  <si>
    <t>Foundry Branch</t>
  </si>
  <si>
    <t>Broad Branch</t>
  </si>
  <si>
    <t>Fort Stanton Tributary</t>
  </si>
  <si>
    <t>Mill Creek</t>
  </si>
  <si>
    <t>Dumbarton Oaks</t>
  </si>
  <si>
    <t>Gallatin</t>
  </si>
  <si>
    <t>Oxon Cove</t>
  </si>
  <si>
    <t>Fenwick Branch</t>
  </si>
  <si>
    <t>Hickey run</t>
  </si>
  <si>
    <t>Oxon Run</t>
  </si>
  <si>
    <t>Klingle Valley Run</t>
  </si>
  <si>
    <t>Michigan Park</t>
  </si>
  <si>
    <t>Tidal Basin</t>
  </si>
  <si>
    <t>Luzon Branch</t>
  </si>
  <si>
    <t>Nash Run</t>
  </si>
  <si>
    <t>To MD</t>
  </si>
  <si>
    <t>Malvin Hazen Valley Branch</t>
  </si>
  <si>
    <t>Naylor</t>
  </si>
  <si>
    <t>To MD - Oxon Run</t>
  </si>
  <si>
    <t>Milkhouse Run</t>
  </si>
  <si>
    <t>Northwest Anacostia</t>
  </si>
  <si>
    <t>Washington Channel</t>
  </si>
  <si>
    <t>Normanstone Creek</t>
  </si>
  <si>
    <t>Pope Branch</t>
  </si>
  <si>
    <t>Potomac River</t>
  </si>
  <si>
    <t>Pinehurst Branch</t>
  </si>
  <si>
    <t>RFK</t>
  </si>
  <si>
    <t>-Not Known-</t>
  </si>
  <si>
    <t>Piney Branch</t>
  </si>
  <si>
    <t>Ridge</t>
  </si>
  <si>
    <t>Portal Branch</t>
  </si>
  <si>
    <t>Suitland-Stickfoot</t>
  </si>
  <si>
    <t>Soapstone Creek</t>
  </si>
  <si>
    <t>Texas Avenue Tributary</t>
  </si>
  <si>
    <t>To MD - Rock Creek</t>
  </si>
  <si>
    <t>To MD - Anacostia</t>
  </si>
  <si>
    <t>Watts Branch</t>
  </si>
  <si>
    <t>Anacostia River</t>
  </si>
  <si>
    <t>Green Roof</t>
  </si>
  <si>
    <t>Rainwater Harvesting</t>
  </si>
  <si>
    <t>Filtering System</t>
  </si>
  <si>
    <t>Infiltration</t>
  </si>
  <si>
    <t>Wet Swale</t>
  </si>
  <si>
    <t>Proprietary Practice</t>
  </si>
  <si>
    <t>Is the Site in the AWDZ?</t>
  </si>
  <si>
    <t xml:space="preserve">Site Drainage Area Number </t>
  </si>
  <si>
    <t>integer only</t>
  </si>
  <si>
    <t>user selection</t>
  </si>
  <si>
    <t>Text Entry</t>
  </si>
  <si>
    <t>Major Land Disturbing Area</t>
  </si>
  <si>
    <t>Major Land Disturbing Areas and BMP Storage Volume in Each SDA</t>
  </si>
  <si>
    <t>Substantantial Improvement Area</t>
  </si>
  <si>
    <t>Public ROW To Be Disturbed</t>
  </si>
  <si>
    <t>Area To Be Disturbed</t>
  </si>
  <si>
    <t>Disturbed Area</t>
  </si>
  <si>
    <t>PROW Rv</t>
  </si>
  <si>
    <t>Disturbed Area Rv</t>
  </si>
  <si>
    <t>Substantial Improvement Rv</t>
  </si>
  <si>
    <t>PROW Total Area</t>
  </si>
  <si>
    <t>Disturbed Area Total</t>
  </si>
  <si>
    <t>Stormwater Retention Volume and Water Quality Treatment Volume</t>
  </si>
  <si>
    <t>Substantial Improvement Area Total</t>
  </si>
  <si>
    <t>Total Private Site</t>
  </si>
  <si>
    <t>Maximum Retention Volume Received by BMPs in SDA</t>
  </si>
  <si>
    <t>Treatment Required to Meet 50%of the SWRv?</t>
  </si>
  <si>
    <t>Disconnection to a Pervious Area (A/B Soils)</t>
  </si>
  <si>
    <t>Disconnection to a Pervious Area (C/D Soils)</t>
  </si>
  <si>
    <t>Disconnection to a Conservation Area</t>
  </si>
  <si>
    <t>Disconnection to Amended Soils</t>
  </si>
  <si>
    <t>Grass Channel</t>
  </si>
  <si>
    <t>Grass Channel - Amended Soils</t>
  </si>
  <si>
    <t>Dry Swale</t>
  </si>
  <si>
    <t>Pond</t>
  </si>
  <si>
    <t>Wetland</t>
  </si>
  <si>
    <t>Minimum Vehicular Access Volume</t>
  </si>
  <si>
    <t>given value</t>
  </si>
  <si>
    <t>Additional Detention Required?</t>
  </si>
  <si>
    <t xml:space="preserve">Use this spreadsheet to prepare Site Drainage Area and Best Management Practice (BMP) information for Stormwater Management Plans (SWMPs) to be submitted to DOEE. Save this information for input into the Stormwater Database.
</t>
  </si>
  <si>
    <t>Areas such as forest or meadow.</t>
  </si>
  <si>
    <t xml:space="preserve">Select "Yes" if the site meets the criteria for an Anacostia Waterfront Development Zone project. </t>
  </si>
  <si>
    <t>Select the location of the site.</t>
  </si>
  <si>
    <t>From separate SWMP-BMPCal spreadsheet, enter corresponding Sv. Note that tree planting/preservation do not receive a storage volume.</t>
  </si>
  <si>
    <t>Detention</t>
  </si>
  <si>
    <t>Pre-Development Curve Number</t>
  </si>
  <si>
    <t>2-year Post-Development Curve Number</t>
  </si>
  <si>
    <t>Pre-Project Curve Number</t>
  </si>
  <si>
    <t>15-year Post-Development Curve Number</t>
  </si>
  <si>
    <t>Permeable Pavement - Enhanced w/ Underdrain</t>
  </si>
  <si>
    <t>Permeable Pavement - Enhanced w/o Underdrain</t>
  </si>
  <si>
    <t>Permeable Pavement - Standard</t>
  </si>
  <si>
    <t>Bioretention - Standard</t>
  </si>
  <si>
    <t>Bioretention - Enhanced</t>
  </si>
  <si>
    <t>Tree Planting - Small Tree</t>
  </si>
  <si>
    <t>Tree Planting - Large Tree</t>
  </si>
  <si>
    <t>Tree Preservation - Small Tree</t>
  </si>
  <si>
    <t>Tree Preservation - Large Tree</t>
  </si>
  <si>
    <t>Tree Preservation - Special Tree</t>
  </si>
  <si>
    <t>Tree Preservation - Heritage Tree</t>
  </si>
  <si>
    <t>Retention Multiplier</t>
  </si>
  <si>
    <t>Disconnection Area (Only for Imprevious Disconnection BMPs)</t>
  </si>
  <si>
    <t>Sump Storage Volume (Only for Permeable Pavement -Enhanced w/Underdrain)</t>
  </si>
  <si>
    <t>Retention Volume</t>
  </si>
  <si>
    <t>BMP</t>
  </si>
  <si>
    <t>1. Site Drainage Areas Sheet</t>
  </si>
  <si>
    <t>Complete Site Information</t>
  </si>
  <si>
    <t>2. BMP Data Sheet</t>
  </si>
  <si>
    <t>3. Detention Sheet</t>
  </si>
  <si>
    <t>Version</t>
  </si>
  <si>
    <t>Date Published</t>
  </si>
  <si>
    <t>Revisions Made</t>
  </si>
  <si>
    <t>Fully updated to coincide with release of 2020 Stormwater Management Guidebook</t>
  </si>
  <si>
    <t>Is Site Located in the tidal MS4, non-tidal MS4 CSS w/ GI, or CSS w/ tunnels?</t>
  </si>
  <si>
    <t>Tidal MS4</t>
  </si>
  <si>
    <t>Non-tidal MS4</t>
  </si>
  <si>
    <t>Fixed error in vehicular access volume calculation on Site Drainage Areas sheet.</t>
  </si>
  <si>
    <t>Added distinction between Tidal and Non-Tidal MS4 in Site Information and Site Data Tab and revised Detention sheet accordingly.</t>
  </si>
  <si>
    <t>Adjusted "Treatment Required to Meet 50% of the SWRv" and "Volume Remaining to Treat…" columns to read N/A for the Total Site line on Site Drainage Areas sheet, as these requirements are SDA-specific.</t>
  </si>
  <si>
    <t>Adjusted "Minimum Requirements for Drainage Area Met" column for the Total Site line on the Site Drainage Areas sheet to read "No" if any individual SDA reads "No".</t>
  </si>
  <si>
    <t>Treatment Met for WQTv?</t>
  </si>
  <si>
    <t>Total Volume Retained and Treated in Parcel</t>
  </si>
  <si>
    <t>Total Volume Retained and Treated On Site</t>
  </si>
  <si>
    <t>Adjusted treatment totals on Compliance Check Summary sheet to include volume retained.</t>
  </si>
  <si>
    <t>Added treatment check columns to site drainage area portion of Compliance Check Summary sheet.</t>
  </si>
  <si>
    <t>Fixed error in WQTV treatment calculations in column BB, BC, and BD on Site Drainage Areas sheet.</t>
  </si>
  <si>
    <t>Minimum Requirements for SDA Met?</t>
  </si>
  <si>
    <t>Revision Log</t>
  </si>
  <si>
    <t>General Retention Compliance Calculator - May 4, 2020</t>
  </si>
  <si>
    <t>Fixed error  in "Additional Detention Required" columns on the Detention sheet. Nontidal MS4 areas were improperly exempted from 2-year detention requirements, and all MS4 areas were improperly exempted from 15-year detention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</si>
</sst>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5" x14ac:knownFonts="1">
    <font>
      <sz val="11"/>
      <color theme="1"/>
      <name val="Calibri"/>
      <family val="2"/>
      <scheme val="minor"/>
    </font>
    <font>
      <b/>
      <sz val="11"/>
      <color theme="1"/>
      <name val="Calibri"/>
      <family val="2"/>
      <scheme val="minor"/>
    </font>
    <font>
      <b/>
      <sz val="18"/>
      <color theme="1"/>
      <name val="Calibri"/>
      <family val="2"/>
      <scheme val="minor"/>
    </font>
    <font>
      <b/>
      <sz val="22"/>
      <color theme="1"/>
      <name val="Calibri"/>
      <family val="2"/>
      <scheme val="minor"/>
    </font>
    <font>
      <u/>
      <sz val="11"/>
      <color theme="10"/>
      <name val="Calibri"/>
      <family val="2"/>
      <scheme val="minor"/>
    </font>
    <font>
      <sz val="11"/>
      <color theme="1"/>
      <name val="Calibri"/>
      <family val="2"/>
      <scheme val="minor"/>
    </font>
    <font>
      <sz val="11"/>
      <name val="Calibri"/>
      <family val="2"/>
      <scheme val="minor"/>
    </font>
    <font>
      <sz val="10"/>
      <name val="Arial"/>
      <family val="2"/>
    </font>
    <font>
      <b/>
      <sz val="11"/>
      <name val="Calibri"/>
      <family val="2"/>
      <scheme val="minor"/>
    </font>
    <font>
      <sz val="11"/>
      <color rgb="FF000000"/>
      <name val="Calibri"/>
      <family val="2"/>
      <scheme val="minor"/>
    </font>
    <font>
      <b/>
      <sz val="12"/>
      <color theme="1"/>
      <name val="Calibri"/>
      <family val="2"/>
      <scheme val="minor"/>
    </font>
    <font>
      <b/>
      <sz val="14"/>
      <color theme="1"/>
      <name val="Calibri"/>
      <family val="2"/>
      <scheme val="minor"/>
    </font>
    <font>
      <b/>
      <sz val="16"/>
      <color theme="1"/>
      <name val="Calibri"/>
      <family val="2"/>
      <scheme val="minor"/>
    </font>
    <font>
      <sz val="12"/>
      <color theme="1"/>
      <name val="Calibri"/>
      <family val="2"/>
      <scheme val="minor"/>
    </font>
    <font>
      <b/>
      <u/>
      <sz val="11"/>
      <color theme="1"/>
      <name val="Calibri"/>
      <family val="2"/>
      <scheme val="minor"/>
    </font>
  </fonts>
  <fills count="21">
    <fill>
      <patternFill patternType="none"/>
    </fill>
    <fill>
      <patternFill patternType="gray125"/>
    </fill>
    <fill>
      <patternFill patternType="solid">
        <fgColor theme="6" tint="0.39997558519241921"/>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rgb="FF92CDDC"/>
        <bgColor indexed="64"/>
      </patternFill>
    </fill>
    <fill>
      <patternFill patternType="solid">
        <fgColor rgb="FFB7DEE8"/>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style="medium">
        <color auto="1"/>
      </top>
      <bottom/>
      <diagonal/>
    </border>
    <border>
      <left/>
      <right style="medium">
        <color auto="1"/>
      </right>
      <top style="medium">
        <color auto="1"/>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style="thin">
        <color indexed="64"/>
      </right>
      <top style="medium">
        <color auto="1"/>
      </top>
      <bottom/>
      <diagonal/>
    </border>
    <border>
      <left style="medium">
        <color auto="1"/>
      </left>
      <right style="thin">
        <color indexed="64"/>
      </right>
      <top/>
      <bottom style="medium">
        <color indexed="64"/>
      </bottom>
      <diagonal/>
    </border>
    <border>
      <left style="medium">
        <color auto="1"/>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right style="medium">
        <color auto="1"/>
      </right>
      <top style="medium">
        <color auto="1"/>
      </top>
      <bottom style="thin">
        <color indexed="64"/>
      </bottom>
      <diagonal/>
    </border>
    <border>
      <left style="medium">
        <color auto="1"/>
      </left>
      <right style="thin">
        <color indexed="64"/>
      </right>
      <top style="medium">
        <color auto="1"/>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ck">
        <color auto="1"/>
      </right>
      <top style="medium">
        <color auto="1"/>
      </top>
      <bottom style="thin">
        <color indexed="64"/>
      </bottom>
      <diagonal/>
    </border>
    <border>
      <left style="thin">
        <color indexed="64"/>
      </left>
      <right style="thick">
        <color auto="1"/>
      </right>
      <top style="thin">
        <color indexed="64"/>
      </top>
      <bottom/>
      <diagonal/>
    </border>
    <border>
      <left style="thin">
        <color indexed="64"/>
      </left>
      <right style="thick">
        <color auto="1"/>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medium">
        <color auto="1"/>
      </right>
      <top/>
      <bottom style="medium">
        <color auto="1"/>
      </bottom>
      <diagonal/>
    </border>
    <border>
      <left/>
      <right style="medium">
        <color indexed="64"/>
      </right>
      <top style="thin">
        <color indexed="64"/>
      </top>
      <bottom style="medium">
        <color indexed="64"/>
      </bottom>
      <diagonal/>
    </border>
    <border>
      <left/>
      <right style="thick">
        <color indexed="64"/>
      </right>
      <top style="medium">
        <color indexed="64"/>
      </top>
      <bottom style="medium">
        <color indexed="64"/>
      </bottom>
      <diagonal/>
    </border>
    <border>
      <left style="medium">
        <color indexed="64"/>
      </left>
      <right style="medium">
        <color indexed="64"/>
      </right>
      <top/>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medium">
        <color auto="1"/>
      </left>
      <right/>
      <top style="medium">
        <color auto="1"/>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s>
  <cellStyleXfs count="3">
    <xf numFmtId="0" fontId="0" fillId="0" borderId="0"/>
    <xf numFmtId="0" fontId="4" fillId="0" borderId="0" applyNumberFormat="0" applyFill="0" applyBorder="0" applyAlignment="0" applyProtection="0"/>
    <xf numFmtId="9" fontId="5" fillId="0" borderId="0" applyFont="0" applyFill="0" applyBorder="0" applyAlignment="0" applyProtection="0"/>
  </cellStyleXfs>
  <cellXfs count="426">
    <xf numFmtId="0" fontId="0" fillId="0" borderId="0" xfId="0"/>
    <xf numFmtId="0" fontId="1" fillId="0" borderId="0" xfId="0" applyFont="1"/>
    <xf numFmtId="0" fontId="0" fillId="0" borderId="0" xfId="0" applyFill="1"/>
    <xf numFmtId="0" fontId="0" fillId="0" borderId="0" xfId="0" applyFill="1" applyBorder="1"/>
    <xf numFmtId="0" fontId="0" fillId="0" borderId="0" xfId="0" applyBorder="1"/>
    <xf numFmtId="0" fontId="1" fillId="0" borderId="0" xfId="0" applyFont="1" applyBorder="1"/>
    <xf numFmtId="0" fontId="6" fillId="0" borderId="0" xfId="0" applyFont="1" applyFill="1" applyBorder="1"/>
    <xf numFmtId="0" fontId="6" fillId="0" borderId="0" xfId="0" applyFont="1" applyBorder="1"/>
    <xf numFmtId="0" fontId="1" fillId="11" borderId="34" xfId="0" applyFont="1" applyFill="1" applyBorder="1" applyAlignment="1">
      <alignment horizontal="center" wrapText="1"/>
    </xf>
    <xf numFmtId="0" fontId="1" fillId="11" borderId="38" xfId="0" applyFont="1" applyFill="1" applyBorder="1" applyAlignment="1">
      <alignment horizontal="center" wrapText="1"/>
    </xf>
    <xf numFmtId="0" fontId="1" fillId="11" borderId="39" xfId="0" applyFont="1" applyFill="1" applyBorder="1" applyAlignment="1">
      <alignment horizontal="center" wrapText="1"/>
    </xf>
    <xf numFmtId="0" fontId="0" fillId="0" borderId="0" xfId="0" applyBorder="1" applyAlignment="1">
      <alignment horizontal="center" wrapText="1"/>
    </xf>
    <xf numFmtId="0" fontId="1" fillId="11" borderId="32" xfId="0" applyFont="1" applyFill="1" applyBorder="1" applyAlignment="1">
      <alignment horizontal="center"/>
    </xf>
    <xf numFmtId="0" fontId="1" fillId="11" borderId="36" xfId="0" applyFont="1" applyFill="1" applyBorder="1" applyAlignment="1">
      <alignment horizontal="center"/>
    </xf>
    <xf numFmtId="0" fontId="1" fillId="11" borderId="42" xfId="0" applyFont="1" applyFill="1" applyBorder="1" applyAlignment="1">
      <alignment horizontal="center"/>
    </xf>
    <xf numFmtId="0" fontId="0" fillId="0" borderId="0" xfId="0" applyBorder="1" applyAlignment="1">
      <alignment horizontal="center"/>
    </xf>
    <xf numFmtId="0" fontId="8" fillId="0" borderId="0" xfId="0" applyFont="1" applyFill="1" applyBorder="1"/>
    <xf numFmtId="0" fontId="8" fillId="0" borderId="0" xfId="0" applyFont="1" applyBorder="1"/>
    <xf numFmtId="0" fontId="8" fillId="5" borderId="14" xfId="0" applyFont="1" applyFill="1" applyBorder="1" applyAlignment="1"/>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8" fillId="0" borderId="0" xfId="0" applyFont="1" applyFill="1" applyBorder="1" applyAlignment="1">
      <alignment horizontal="center" vertical="center" wrapText="1"/>
    </xf>
    <xf numFmtId="0" fontId="0" fillId="0" borderId="0" xfId="0" applyProtection="1"/>
    <xf numFmtId="0" fontId="0" fillId="0" borderId="0" xfId="0" applyAlignment="1" applyProtection="1">
      <alignment horizontal="center"/>
    </xf>
    <xf numFmtId="2" fontId="0" fillId="0" borderId="0" xfId="0" applyNumberFormat="1" applyProtection="1"/>
    <xf numFmtId="0" fontId="9" fillId="0" borderId="0" xfId="0" applyFont="1"/>
    <xf numFmtId="2" fontId="6" fillId="0" borderId="0" xfId="0" applyNumberFormat="1" applyFont="1" applyBorder="1"/>
    <xf numFmtId="0" fontId="1" fillId="13" borderId="38" xfId="0" applyFont="1" applyFill="1" applyBorder="1" applyAlignment="1">
      <alignment horizontal="center" wrapText="1"/>
    </xf>
    <xf numFmtId="0" fontId="1" fillId="13" borderId="39" xfId="0" applyFont="1" applyFill="1" applyBorder="1" applyAlignment="1">
      <alignment horizontal="center" wrapText="1"/>
    </xf>
    <xf numFmtId="0" fontId="1" fillId="13" borderId="49" xfId="0" applyFont="1" applyFill="1" applyBorder="1" applyAlignment="1">
      <alignment horizontal="center" wrapText="1"/>
    </xf>
    <xf numFmtId="0" fontId="8" fillId="4" borderId="55" xfId="0" applyFont="1" applyFill="1" applyBorder="1" applyAlignment="1">
      <alignment horizontal="center"/>
    </xf>
    <xf numFmtId="0" fontId="8" fillId="13" borderId="52" xfId="0" applyFont="1" applyFill="1" applyBorder="1" applyAlignment="1">
      <alignment horizontal="center" wrapText="1"/>
    </xf>
    <xf numFmtId="0" fontId="8" fillId="13" borderId="34" xfId="0" applyFont="1" applyFill="1" applyBorder="1" applyAlignment="1">
      <alignment horizontal="center" wrapText="1"/>
    </xf>
    <xf numFmtId="0" fontId="8" fillId="13" borderId="38" xfId="0" applyFont="1" applyFill="1" applyBorder="1" applyAlignment="1">
      <alignment horizontal="center" wrapText="1"/>
    </xf>
    <xf numFmtId="0" fontId="8" fillId="13" borderId="39" xfId="0" applyFont="1" applyFill="1" applyBorder="1" applyAlignment="1">
      <alignment horizontal="center" wrapText="1"/>
    </xf>
    <xf numFmtId="2" fontId="8" fillId="13" borderId="39" xfId="0" applyNumberFormat="1" applyFont="1" applyFill="1" applyBorder="1" applyAlignment="1">
      <alignment horizontal="center" wrapText="1"/>
    </xf>
    <xf numFmtId="0" fontId="8" fillId="13" borderId="49" xfId="0" applyFont="1" applyFill="1" applyBorder="1" applyAlignment="1">
      <alignment horizontal="center" wrapText="1"/>
    </xf>
    <xf numFmtId="0" fontId="8" fillId="0" borderId="0" xfId="0" applyFont="1" applyBorder="1" applyAlignment="1">
      <alignment wrapText="1"/>
    </xf>
    <xf numFmtId="0" fontId="8" fillId="4" borderId="54" xfId="0" applyFont="1" applyFill="1" applyBorder="1" applyAlignment="1">
      <alignment horizontal="center" wrapText="1"/>
    </xf>
    <xf numFmtId="0" fontId="8" fillId="4" borderId="45" xfId="0" applyFont="1" applyFill="1" applyBorder="1" applyAlignment="1">
      <alignment horizontal="center"/>
    </xf>
    <xf numFmtId="0" fontId="8" fillId="4" borderId="40" xfId="0" applyFont="1" applyFill="1" applyBorder="1" applyAlignment="1">
      <alignment horizontal="center"/>
    </xf>
    <xf numFmtId="0" fontId="8" fillId="4" borderId="41" xfId="0" applyFont="1" applyFill="1" applyBorder="1" applyAlignment="1">
      <alignment horizontal="center"/>
    </xf>
    <xf numFmtId="2" fontId="8" fillId="4" borderId="41" xfId="0" applyNumberFormat="1" applyFont="1" applyFill="1" applyBorder="1" applyAlignment="1">
      <alignment horizontal="center"/>
    </xf>
    <xf numFmtId="0" fontId="8" fillId="4" borderId="48" xfId="0" applyFont="1" applyFill="1" applyBorder="1" applyAlignment="1">
      <alignment horizontal="center"/>
    </xf>
    <xf numFmtId="0" fontId="8" fillId="13" borderId="27" xfId="0" applyFont="1" applyFill="1" applyBorder="1" applyAlignment="1">
      <alignment horizontal="center" vertical="center" wrapText="1"/>
    </xf>
    <xf numFmtId="0" fontId="8" fillId="13" borderId="30" xfId="0" applyFont="1" applyFill="1" applyBorder="1" applyAlignment="1">
      <alignment horizontal="center" vertical="center" wrapText="1"/>
    </xf>
    <xf numFmtId="0" fontId="1" fillId="0" borderId="0" xfId="0" applyFont="1" applyBorder="1" applyAlignment="1">
      <alignment wrapText="1"/>
    </xf>
    <xf numFmtId="0" fontId="6" fillId="12" borderId="29" xfId="0" applyFont="1" applyFill="1" applyBorder="1" applyAlignment="1">
      <alignment horizontal="center" vertical="center"/>
    </xf>
    <xf numFmtId="0" fontId="6" fillId="12" borderId="43" xfId="0" applyFont="1" applyFill="1" applyBorder="1" applyAlignment="1">
      <alignment horizontal="center" vertical="center"/>
    </xf>
    <xf numFmtId="0" fontId="6" fillId="12" borderId="37" xfId="0" applyFont="1" applyFill="1" applyBorder="1" applyAlignment="1">
      <alignment horizontal="center"/>
    </xf>
    <xf numFmtId="9" fontId="6" fillId="12" borderId="37" xfId="2" applyFont="1" applyFill="1" applyBorder="1" applyAlignment="1">
      <alignment horizontal="center"/>
    </xf>
    <xf numFmtId="2" fontId="6" fillId="12" borderId="46" xfId="2" applyNumberFormat="1" applyFont="1" applyFill="1" applyBorder="1" applyAlignment="1">
      <alignment horizontal="center"/>
    </xf>
    <xf numFmtId="0" fontId="6" fillId="0" borderId="0" xfId="0" applyFont="1" applyBorder="1" applyAlignment="1">
      <alignment horizontal="center"/>
    </xf>
    <xf numFmtId="0" fontId="6" fillId="12" borderId="1" xfId="0" applyFont="1" applyFill="1" applyBorder="1" applyAlignment="1">
      <alignment horizontal="center"/>
    </xf>
    <xf numFmtId="2" fontId="6" fillId="12" borderId="44" xfId="0" applyNumberFormat="1" applyFont="1" applyFill="1" applyBorder="1" applyAlignment="1">
      <alignment horizontal="center"/>
    </xf>
    <xf numFmtId="9" fontId="6" fillId="12" borderId="1" xfId="2" applyFont="1" applyFill="1" applyBorder="1" applyAlignment="1">
      <alignment horizontal="center"/>
    </xf>
    <xf numFmtId="9" fontId="6" fillId="12" borderId="40" xfId="2" applyFont="1" applyFill="1" applyBorder="1" applyAlignment="1">
      <alignment horizontal="center"/>
    </xf>
    <xf numFmtId="164" fontId="6" fillId="12" borderId="37" xfId="0" applyNumberFormat="1" applyFont="1" applyFill="1" applyBorder="1" applyAlignment="1">
      <alignment horizontal="center"/>
    </xf>
    <xf numFmtId="0" fontId="8" fillId="13" borderId="0" xfId="0" applyFont="1" applyFill="1" applyBorder="1" applyAlignment="1">
      <alignment horizontal="center" wrapText="1"/>
    </xf>
    <xf numFmtId="0" fontId="8" fillId="4" borderId="0" xfId="0" applyFont="1" applyFill="1" applyBorder="1" applyAlignment="1">
      <alignment horizontal="center"/>
    </xf>
    <xf numFmtId="0" fontId="6" fillId="12" borderId="0" xfId="0" applyFont="1" applyFill="1" applyBorder="1" applyAlignment="1">
      <alignment horizontal="center"/>
    </xf>
    <xf numFmtId="164" fontId="0" fillId="0" borderId="0" xfId="0" applyNumberFormat="1" applyProtection="1"/>
    <xf numFmtId="164" fontId="0" fillId="3" borderId="20" xfId="0" applyNumberFormat="1" applyFill="1" applyBorder="1" applyAlignment="1">
      <alignment horizontal="center"/>
    </xf>
    <xf numFmtId="3" fontId="0" fillId="3" borderId="20" xfId="0" applyNumberFormat="1" applyFill="1" applyBorder="1" applyAlignment="1">
      <alignment horizontal="center"/>
    </xf>
    <xf numFmtId="9" fontId="0" fillId="3" borderId="20" xfId="2" applyFont="1" applyFill="1" applyBorder="1" applyAlignment="1">
      <alignment horizontal="center"/>
    </xf>
    <xf numFmtId="3" fontId="0" fillId="12" borderId="1" xfId="0" applyNumberFormat="1" applyFill="1" applyBorder="1" applyAlignment="1">
      <alignment horizontal="center"/>
    </xf>
    <xf numFmtId="3" fontId="6" fillId="12" borderId="46" xfId="0" applyNumberFormat="1" applyFont="1" applyFill="1" applyBorder="1" applyAlignment="1">
      <alignment horizontal="center"/>
    </xf>
    <xf numFmtId="3" fontId="6" fillId="12" borderId="44" xfId="0" applyNumberFormat="1" applyFont="1" applyFill="1" applyBorder="1" applyAlignment="1">
      <alignment horizontal="center"/>
    </xf>
    <xf numFmtId="3" fontId="6" fillId="12" borderId="37" xfId="0" applyNumberFormat="1" applyFont="1" applyFill="1" applyBorder="1" applyAlignment="1">
      <alignment horizontal="center"/>
    </xf>
    <xf numFmtId="3" fontId="6" fillId="12" borderId="1" xfId="0" applyNumberFormat="1" applyFont="1" applyFill="1" applyBorder="1" applyAlignment="1">
      <alignment horizontal="center"/>
    </xf>
    <xf numFmtId="3" fontId="6" fillId="3" borderId="1" xfId="0" applyNumberFormat="1" applyFont="1" applyFill="1" applyBorder="1" applyAlignment="1">
      <alignment horizontal="center" vertical="center"/>
    </xf>
    <xf numFmtId="3" fontId="6" fillId="3" borderId="37" xfId="0" applyNumberFormat="1" applyFont="1" applyFill="1" applyBorder="1" applyAlignment="1">
      <alignment horizontal="center" vertical="center"/>
    </xf>
    <xf numFmtId="3" fontId="0" fillId="12" borderId="12" xfId="0" applyNumberFormat="1" applyFill="1" applyBorder="1" applyAlignment="1">
      <alignment horizontal="center"/>
    </xf>
    <xf numFmtId="1" fontId="0" fillId="12" borderId="37" xfId="0" applyNumberFormat="1" applyFill="1" applyBorder="1" applyAlignment="1">
      <alignment horizontal="center"/>
    </xf>
    <xf numFmtId="2" fontId="0" fillId="12" borderId="37" xfId="0" applyNumberFormat="1" applyFill="1" applyBorder="1" applyAlignment="1">
      <alignment horizontal="center"/>
    </xf>
    <xf numFmtId="3" fontId="6" fillId="3" borderId="37" xfId="0" quotePrefix="1" applyNumberFormat="1" applyFont="1" applyFill="1" applyBorder="1" applyAlignment="1">
      <alignment horizontal="center" vertical="center"/>
    </xf>
    <xf numFmtId="0" fontId="1" fillId="0" borderId="0" xfId="0" applyFont="1" applyFill="1"/>
    <xf numFmtId="4" fontId="0" fillId="12" borderId="1" xfId="0" applyNumberFormat="1" applyFill="1" applyBorder="1" applyAlignment="1">
      <alignment horizontal="center"/>
    </xf>
    <xf numFmtId="0" fontId="1" fillId="11" borderId="57" xfId="0" applyFont="1" applyFill="1" applyBorder="1" applyAlignment="1">
      <alignment horizontal="center" wrapText="1"/>
    </xf>
    <xf numFmtId="0" fontId="1" fillId="11" borderId="58" xfId="0" applyFont="1" applyFill="1" applyBorder="1" applyAlignment="1">
      <alignment horizontal="center"/>
    </xf>
    <xf numFmtId="3" fontId="0" fillId="3" borderId="21" xfId="0" applyNumberFormat="1" applyFill="1" applyBorder="1" applyAlignment="1">
      <alignment horizontal="center"/>
    </xf>
    <xf numFmtId="3" fontId="0" fillId="3" borderId="19" xfId="0" applyNumberFormat="1" applyFill="1" applyBorder="1" applyAlignment="1">
      <alignment horizontal="center"/>
    </xf>
    <xf numFmtId="0" fontId="6" fillId="12" borderId="45" xfId="0" applyFont="1" applyFill="1" applyBorder="1" applyAlignment="1">
      <alignment horizontal="center" vertical="center"/>
    </xf>
    <xf numFmtId="0" fontId="8" fillId="4" borderId="39" xfId="0" applyFont="1" applyFill="1" applyBorder="1" applyAlignment="1">
      <alignment horizontal="center" vertical="center"/>
    </xf>
    <xf numFmtId="0" fontId="8" fillId="5" borderId="13" xfId="0" applyFont="1" applyFill="1" applyBorder="1" applyAlignment="1"/>
    <xf numFmtId="0" fontId="8" fillId="5" borderId="15" xfId="0" applyFont="1" applyFill="1" applyBorder="1" applyAlignment="1">
      <alignment horizontal="left"/>
    </xf>
    <xf numFmtId="0" fontId="8" fillId="4" borderId="41" xfId="0" applyFont="1" applyFill="1" applyBorder="1" applyAlignment="1">
      <alignment horizontal="center" vertical="center" wrapText="1"/>
    </xf>
    <xf numFmtId="3" fontId="6" fillId="12" borderId="9" xfId="0" applyNumberFormat="1" applyFont="1" applyFill="1" applyBorder="1" applyAlignment="1">
      <alignment horizontal="center"/>
    </xf>
    <xf numFmtId="2" fontId="6" fillId="12" borderId="44" xfId="2" applyNumberFormat="1" applyFont="1" applyFill="1" applyBorder="1" applyAlignment="1">
      <alignment horizontal="center"/>
    </xf>
    <xf numFmtId="3" fontId="6" fillId="12" borderId="12" xfId="0" applyNumberFormat="1" applyFont="1" applyFill="1" applyBorder="1" applyAlignment="1">
      <alignment horizontal="center"/>
    </xf>
    <xf numFmtId="0" fontId="8" fillId="13" borderId="61" xfId="0" applyFont="1" applyFill="1" applyBorder="1" applyAlignment="1">
      <alignment horizontal="center" vertical="center" wrapText="1"/>
    </xf>
    <xf numFmtId="0" fontId="8" fillId="13" borderId="31" xfId="0" applyFont="1" applyFill="1" applyBorder="1" applyAlignment="1">
      <alignment horizontal="center" vertical="center" wrapText="1"/>
    </xf>
    <xf numFmtId="0" fontId="6" fillId="3" borderId="46" xfId="0" applyFont="1" applyFill="1" applyBorder="1" applyAlignment="1">
      <alignment horizontal="center" vertical="center"/>
    </xf>
    <xf numFmtId="0" fontId="8" fillId="9" borderId="14" xfId="0" applyFont="1" applyFill="1" applyBorder="1" applyAlignment="1"/>
    <xf numFmtId="0" fontId="8" fillId="9" borderId="15" xfId="0" applyFont="1" applyFill="1" applyBorder="1" applyAlignment="1"/>
    <xf numFmtId="165" fontId="0" fillId="3" borderId="20" xfId="0" applyNumberFormat="1" applyFill="1" applyBorder="1" applyAlignment="1">
      <alignment horizontal="center"/>
    </xf>
    <xf numFmtId="0" fontId="8" fillId="4" borderId="40" xfId="0" applyFont="1" applyFill="1" applyBorder="1" applyAlignment="1">
      <alignment horizontal="center" vertical="center" wrapText="1"/>
    </xf>
    <xf numFmtId="0" fontId="8" fillId="4" borderId="38" xfId="0" applyFont="1" applyFill="1" applyBorder="1" applyAlignment="1">
      <alignment horizontal="center" vertical="center"/>
    </xf>
    <xf numFmtId="0" fontId="13" fillId="14" borderId="2" xfId="0" applyFont="1" applyFill="1" applyBorder="1" applyAlignment="1">
      <alignment horizontal="center" wrapText="1"/>
    </xf>
    <xf numFmtId="0" fontId="13" fillId="14" borderId="3" xfId="0" applyFont="1" applyFill="1" applyBorder="1" applyAlignment="1">
      <alignment horizontal="center" wrapText="1"/>
    </xf>
    <xf numFmtId="0" fontId="13" fillId="14" borderId="4" xfId="0" applyFont="1" applyFill="1" applyBorder="1" applyAlignment="1">
      <alignment horizontal="center" wrapText="1"/>
    </xf>
    <xf numFmtId="0" fontId="1" fillId="4" borderId="5" xfId="0" applyFont="1" applyFill="1" applyBorder="1" applyAlignment="1">
      <alignment horizontal="right" vertical="top" wrapText="1"/>
    </xf>
    <xf numFmtId="0" fontId="1" fillId="4" borderId="0" xfId="0" applyFont="1" applyFill="1" applyBorder="1" applyAlignment="1">
      <alignment horizontal="right" vertical="top" wrapText="1"/>
    </xf>
    <xf numFmtId="0" fontId="0" fillId="4" borderId="0" xfId="0" applyFill="1" applyBorder="1" applyAlignment="1">
      <alignment horizontal="left" vertical="top" wrapText="1"/>
    </xf>
    <xf numFmtId="0" fontId="0" fillId="4" borderId="6" xfId="0" applyFill="1" applyBorder="1" applyAlignment="1">
      <alignment horizontal="left" vertical="top" wrapText="1"/>
    </xf>
    <xf numFmtId="0" fontId="1" fillId="14" borderId="10" xfId="0" applyFont="1" applyFill="1" applyBorder="1" applyAlignment="1">
      <alignment horizontal="right" vertical="top" wrapText="1"/>
    </xf>
    <xf numFmtId="0" fontId="1" fillId="14" borderId="11" xfId="0" applyFont="1" applyFill="1" applyBorder="1" applyAlignment="1">
      <alignment horizontal="right" vertical="top" wrapText="1"/>
    </xf>
    <xf numFmtId="0" fontId="0" fillId="14" borderId="11" xfId="0" applyFill="1" applyBorder="1" applyAlignment="1">
      <alignment horizontal="left" vertical="top" wrapText="1"/>
    </xf>
    <xf numFmtId="0" fontId="0" fillId="14" borderId="12" xfId="0" applyFill="1" applyBorder="1" applyAlignment="1">
      <alignment horizontal="left" vertical="top" wrapText="1"/>
    </xf>
    <xf numFmtId="0" fontId="1" fillId="4" borderId="5" xfId="0" applyFont="1" applyFill="1" applyBorder="1" applyAlignment="1">
      <alignment horizontal="right" vertical="top"/>
    </xf>
    <xf numFmtId="0" fontId="1" fillId="4" borderId="0" xfId="0" applyFont="1" applyFill="1" applyBorder="1" applyAlignment="1">
      <alignment horizontal="right" vertical="top"/>
    </xf>
    <xf numFmtId="0" fontId="1" fillId="4" borderId="6" xfId="0" applyFont="1" applyFill="1" applyBorder="1" applyAlignment="1">
      <alignment horizontal="right" vertical="top"/>
    </xf>
    <xf numFmtId="0" fontId="0" fillId="4" borderId="5" xfId="0" applyFill="1" applyBorder="1" applyAlignment="1">
      <alignment horizontal="left" vertical="top"/>
    </xf>
    <xf numFmtId="0" fontId="8" fillId="0" borderId="0" xfId="0" applyFont="1" applyFill="1" applyBorder="1" applyAlignment="1">
      <alignment horizontal="left" vertical="top"/>
    </xf>
    <xf numFmtId="0" fontId="8" fillId="0" borderId="0" xfId="0" applyFont="1" applyFill="1" applyBorder="1" applyAlignment="1">
      <alignment horizontal="center" wrapText="1"/>
    </xf>
    <xf numFmtId="0" fontId="8" fillId="0" borderId="0" xfId="0" applyFont="1" applyFill="1" applyBorder="1" applyAlignment="1">
      <alignment horizontal="center"/>
    </xf>
    <xf numFmtId="0" fontId="6" fillId="0" borderId="0" xfId="0" applyFont="1" applyFill="1" applyBorder="1" applyAlignment="1">
      <alignment horizontal="center"/>
    </xf>
    <xf numFmtId="1" fontId="1" fillId="12" borderId="37" xfId="0" applyNumberFormat="1" applyFont="1" applyFill="1" applyBorder="1" applyAlignment="1">
      <alignment horizontal="center"/>
    </xf>
    <xf numFmtId="1" fontId="1" fillId="12" borderId="46" xfId="0" applyNumberFormat="1" applyFont="1" applyFill="1" applyBorder="1" applyAlignment="1">
      <alignment horizontal="center"/>
    </xf>
    <xf numFmtId="0" fontId="8" fillId="13" borderId="50" xfId="0" applyFont="1" applyFill="1" applyBorder="1" applyAlignment="1">
      <alignment horizontal="center" wrapText="1"/>
    </xf>
    <xf numFmtId="0" fontId="1" fillId="2" borderId="13" xfId="0" applyFont="1" applyFill="1" applyBorder="1" applyAlignment="1">
      <alignment vertical="center"/>
    </xf>
    <xf numFmtId="0" fontId="1" fillId="2" borderId="14" xfId="0" applyFont="1" applyFill="1" applyBorder="1" applyAlignment="1">
      <alignment vertical="center"/>
    </xf>
    <xf numFmtId="0" fontId="1" fillId="2" borderId="15" xfId="0" applyFont="1" applyFill="1" applyBorder="1" applyAlignment="1">
      <alignment vertical="center"/>
    </xf>
    <xf numFmtId="0" fontId="1" fillId="4" borderId="53" xfId="0" applyFont="1" applyFill="1" applyBorder="1" applyAlignment="1">
      <alignment horizontal="center"/>
    </xf>
    <xf numFmtId="0" fontId="1" fillId="4" borderId="4" xfId="0" applyFont="1" applyFill="1" applyBorder="1" applyAlignment="1">
      <alignment horizontal="center"/>
    </xf>
    <xf numFmtId="0" fontId="1" fillId="4" borderId="36" xfId="0" applyFont="1" applyFill="1" applyBorder="1" applyAlignment="1">
      <alignment horizontal="center"/>
    </xf>
    <xf numFmtId="0" fontId="1" fillId="4" borderId="42" xfId="0" applyFont="1" applyFill="1" applyBorder="1" applyAlignment="1">
      <alignment horizontal="center"/>
    </xf>
    <xf numFmtId="0" fontId="1" fillId="4" borderId="35" xfId="0" applyFont="1" applyFill="1" applyBorder="1" applyAlignment="1">
      <alignment horizontal="center" vertical="center"/>
    </xf>
    <xf numFmtId="0" fontId="1" fillId="4" borderId="20" xfId="0" applyFont="1" applyFill="1" applyBorder="1" applyAlignment="1">
      <alignment horizontal="center" vertical="center"/>
    </xf>
    <xf numFmtId="0" fontId="1" fillId="4" borderId="20" xfId="0" applyFont="1" applyFill="1" applyBorder="1" applyAlignment="1">
      <alignment horizontal="center" vertical="center" wrapText="1"/>
    </xf>
    <xf numFmtId="0" fontId="1" fillId="4" borderId="21" xfId="0" applyFont="1" applyFill="1" applyBorder="1" applyAlignment="1">
      <alignment horizontal="center" vertical="center"/>
    </xf>
    <xf numFmtId="3" fontId="0" fillId="12" borderId="9" xfId="0" applyNumberFormat="1" applyFill="1" applyBorder="1" applyAlignment="1">
      <alignment horizontal="center"/>
    </xf>
    <xf numFmtId="0" fontId="1" fillId="11" borderId="49" xfId="0" applyFont="1" applyFill="1" applyBorder="1" applyAlignment="1">
      <alignment horizontal="center" wrapText="1"/>
    </xf>
    <xf numFmtId="0" fontId="1" fillId="11" borderId="4" xfId="0" applyFont="1" applyFill="1" applyBorder="1" applyAlignment="1">
      <alignment horizontal="center"/>
    </xf>
    <xf numFmtId="164" fontId="0" fillId="3" borderId="35" xfId="0" applyNumberFormat="1" applyFill="1" applyBorder="1" applyAlignment="1">
      <alignment horizontal="center"/>
    </xf>
    <xf numFmtId="9" fontId="0" fillId="3" borderId="19" xfId="2" applyFont="1" applyFill="1" applyBorder="1" applyAlignment="1">
      <alignment horizontal="center"/>
    </xf>
    <xf numFmtId="9" fontId="0" fillId="3" borderId="21" xfId="2" applyFont="1" applyFill="1" applyBorder="1" applyAlignment="1">
      <alignment horizontal="center"/>
    </xf>
    <xf numFmtId="0" fontId="1" fillId="11" borderId="67" xfId="0" applyFont="1" applyFill="1" applyBorder="1" applyAlignment="1">
      <alignment horizontal="center" wrapText="1"/>
    </xf>
    <xf numFmtId="0" fontId="1" fillId="11" borderId="2" xfId="0" applyFont="1" applyFill="1" applyBorder="1" applyAlignment="1">
      <alignment horizontal="center"/>
    </xf>
    <xf numFmtId="9" fontId="0" fillId="3" borderId="68" xfId="2" applyFont="1" applyFill="1" applyBorder="1" applyAlignment="1">
      <alignment horizontal="center"/>
    </xf>
    <xf numFmtId="0" fontId="1" fillId="11" borderId="45" xfId="0" applyFont="1" applyFill="1" applyBorder="1" applyAlignment="1">
      <alignment horizontal="center"/>
    </xf>
    <xf numFmtId="0" fontId="1" fillId="11" borderId="40" xfId="0" applyFont="1" applyFill="1" applyBorder="1" applyAlignment="1">
      <alignment horizontal="center"/>
    </xf>
    <xf numFmtId="0" fontId="1" fillId="11" borderId="41" xfId="0" applyFont="1" applyFill="1" applyBorder="1" applyAlignment="1">
      <alignment horizontal="center"/>
    </xf>
    <xf numFmtId="2" fontId="0" fillId="3" borderId="68" xfId="2" applyNumberFormat="1" applyFont="1" applyFill="1" applyBorder="1" applyAlignment="1">
      <alignment horizontal="center"/>
    </xf>
    <xf numFmtId="0" fontId="1" fillId="9" borderId="49" xfId="0" applyFont="1" applyFill="1" applyBorder="1" applyAlignment="1">
      <alignment horizontal="center" wrapText="1"/>
    </xf>
    <xf numFmtId="3" fontId="0" fillId="18" borderId="9" xfId="0" applyNumberFormat="1" applyFill="1" applyBorder="1" applyAlignment="1">
      <alignment horizontal="center"/>
    </xf>
    <xf numFmtId="0" fontId="8" fillId="13" borderId="1" xfId="0" applyFont="1" applyFill="1" applyBorder="1" applyAlignment="1">
      <alignment horizontal="center" wrapText="1"/>
    </xf>
    <xf numFmtId="0" fontId="8" fillId="4" borderId="1" xfId="0" applyFont="1" applyFill="1" applyBorder="1" applyAlignment="1">
      <alignment horizontal="center"/>
    </xf>
    <xf numFmtId="0" fontId="8" fillId="4" borderId="42" xfId="0" applyFont="1" applyFill="1" applyBorder="1" applyAlignment="1">
      <alignment horizontal="center"/>
    </xf>
    <xf numFmtId="0" fontId="6" fillId="12" borderId="46" xfId="0" applyFont="1" applyFill="1" applyBorder="1" applyAlignment="1">
      <alignment horizontal="center"/>
    </xf>
    <xf numFmtId="0" fontId="6" fillId="12" borderId="69" xfId="0" applyFont="1" applyFill="1" applyBorder="1" applyAlignment="1">
      <alignment horizontal="center"/>
    </xf>
    <xf numFmtId="0" fontId="0" fillId="0" borderId="19" xfId="0" applyBorder="1" applyAlignment="1" applyProtection="1">
      <alignment horizontal="center"/>
      <protection locked="0"/>
    </xf>
    <xf numFmtId="0" fontId="0" fillId="0" borderId="20" xfId="0" applyBorder="1" applyProtection="1">
      <protection locked="0"/>
    </xf>
    <xf numFmtId="0" fontId="0" fillId="0" borderId="20" xfId="0" applyBorder="1" applyAlignment="1" applyProtection="1">
      <alignment horizontal="center"/>
      <protection locked="0"/>
    </xf>
    <xf numFmtId="0" fontId="0" fillId="0" borderId="59" xfId="0" applyBorder="1" applyAlignment="1" applyProtection="1">
      <alignment horizontal="center"/>
      <protection locked="0"/>
    </xf>
    <xf numFmtId="0" fontId="8" fillId="0" borderId="53" xfId="0" applyFont="1" applyFill="1" applyBorder="1" applyAlignment="1" applyProtection="1">
      <alignment horizontal="center"/>
      <protection locked="0"/>
    </xf>
    <xf numFmtId="0" fontId="6" fillId="0" borderId="53" xfId="0" applyFont="1" applyFill="1" applyBorder="1" applyAlignment="1" applyProtection="1">
      <alignment horizontal="center"/>
      <protection locked="0"/>
    </xf>
    <xf numFmtId="3" fontId="6" fillId="0" borderId="43" xfId="0" applyNumberFormat="1" applyFont="1" applyBorder="1" applyAlignment="1" applyProtection="1">
      <alignment horizontal="center"/>
      <protection locked="0"/>
    </xf>
    <xf numFmtId="3" fontId="6" fillId="0" borderId="1" xfId="0" applyNumberFormat="1" applyFont="1" applyBorder="1" applyAlignment="1" applyProtection="1">
      <alignment horizontal="center"/>
      <protection locked="0"/>
    </xf>
    <xf numFmtId="3" fontId="6" fillId="0" borderId="29" xfId="0" applyNumberFormat="1" applyFont="1" applyFill="1" applyBorder="1" applyAlignment="1" applyProtection="1">
      <alignment horizontal="center"/>
      <protection locked="0"/>
    </xf>
    <xf numFmtId="3" fontId="6" fillId="0" borderId="37" xfId="0" applyNumberFormat="1" applyFont="1" applyFill="1" applyBorder="1" applyAlignment="1" applyProtection="1">
      <alignment horizontal="center"/>
      <protection locked="0"/>
    </xf>
    <xf numFmtId="0" fontId="8" fillId="0" borderId="54" xfId="0" applyFont="1" applyFill="1" applyBorder="1" applyAlignment="1" applyProtection="1">
      <alignment horizontal="center"/>
      <protection locked="0"/>
    </xf>
    <xf numFmtId="0" fontId="6" fillId="0" borderId="54" xfId="0" applyFont="1" applyFill="1" applyBorder="1" applyAlignment="1" applyProtection="1">
      <alignment horizontal="center"/>
      <protection locked="0"/>
    </xf>
    <xf numFmtId="3" fontId="6" fillId="0" borderId="45" xfId="0" applyNumberFormat="1" applyFont="1" applyBorder="1" applyAlignment="1" applyProtection="1">
      <alignment horizontal="center"/>
      <protection locked="0"/>
    </xf>
    <xf numFmtId="3" fontId="6" fillId="0" borderId="40" xfId="0" applyNumberFormat="1" applyFont="1" applyBorder="1" applyAlignment="1" applyProtection="1">
      <alignment horizontal="center"/>
      <protection locked="0"/>
    </xf>
    <xf numFmtId="3" fontId="6" fillId="0" borderId="12" xfId="0" applyNumberFormat="1" applyFont="1" applyBorder="1" applyAlignment="1" applyProtection="1">
      <alignment horizontal="center"/>
      <protection locked="0"/>
    </xf>
    <xf numFmtId="0" fontId="6" fillId="0" borderId="37" xfId="0" applyFont="1" applyBorder="1" applyAlignment="1" applyProtection="1">
      <alignment horizontal="center" vertical="center"/>
      <protection locked="0"/>
    </xf>
    <xf numFmtId="0" fontId="6" fillId="0" borderId="37" xfId="0" applyFont="1" applyBorder="1" applyAlignment="1" applyProtection="1">
      <alignment horizontal="left" vertical="center"/>
      <protection locked="0"/>
    </xf>
    <xf numFmtId="0" fontId="6" fillId="0" borderId="37" xfId="0" applyFont="1" applyBorder="1" applyProtection="1">
      <protection locked="0"/>
    </xf>
    <xf numFmtId="0" fontId="6" fillId="0" borderId="46" xfId="0" applyFont="1" applyFill="1" applyBorder="1" applyAlignment="1" applyProtection="1">
      <alignment horizontal="center" vertical="center"/>
      <protection locked="0"/>
    </xf>
    <xf numFmtId="3" fontId="6" fillId="0" borderId="9" xfId="0" applyNumberFormat="1" applyFont="1" applyBorder="1" applyAlignment="1" applyProtection="1">
      <alignment horizontal="center" vertical="center"/>
      <protection locked="0"/>
    </xf>
    <xf numFmtId="3" fontId="6" fillId="0" borderId="37" xfId="0" applyNumberFormat="1"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1" xfId="0" applyFont="1" applyBorder="1" applyAlignment="1" applyProtection="1">
      <alignment horizontal="left" vertical="center"/>
      <protection locked="0"/>
    </xf>
    <xf numFmtId="0" fontId="6" fillId="0" borderId="44" xfId="0" applyFont="1" applyBorder="1" applyAlignment="1" applyProtection="1">
      <alignment horizontal="center" vertical="center"/>
      <protection locked="0"/>
    </xf>
    <xf numFmtId="3" fontId="6" fillId="0" borderId="12" xfId="0" applyNumberFormat="1" applyFont="1" applyBorder="1" applyAlignment="1" applyProtection="1">
      <alignment horizontal="center" vertical="center"/>
      <protection locked="0"/>
    </xf>
    <xf numFmtId="3" fontId="6" fillId="0" borderId="1" xfId="0" applyNumberFormat="1" applyFont="1" applyBorder="1" applyAlignment="1" applyProtection="1">
      <alignment horizontal="center" vertical="center"/>
      <protection locked="0"/>
    </xf>
    <xf numFmtId="0" fontId="6" fillId="0" borderId="40" xfId="0" applyFont="1" applyBorder="1" applyAlignment="1" applyProtection="1">
      <alignment horizontal="center" vertical="center"/>
      <protection locked="0"/>
    </xf>
    <xf numFmtId="0" fontId="6" fillId="0" borderId="40" xfId="0" applyFont="1" applyBorder="1" applyAlignment="1" applyProtection="1">
      <alignment horizontal="left" vertical="center"/>
      <protection locked="0"/>
    </xf>
    <xf numFmtId="0" fontId="6" fillId="0" borderId="41" xfId="0" applyFont="1" applyBorder="1" applyAlignment="1" applyProtection="1">
      <alignment horizontal="center" vertical="center"/>
      <protection locked="0"/>
    </xf>
    <xf numFmtId="3" fontId="6" fillId="0" borderId="48" xfId="0" applyNumberFormat="1" applyFont="1" applyBorder="1" applyAlignment="1" applyProtection="1">
      <alignment horizontal="center" vertical="center"/>
      <protection locked="0"/>
    </xf>
    <xf numFmtId="3" fontId="6" fillId="0" borderId="40" xfId="0" applyNumberFormat="1" applyFont="1" applyBorder="1" applyAlignment="1" applyProtection="1">
      <alignment horizontal="center" vertical="center"/>
      <protection locked="0"/>
    </xf>
    <xf numFmtId="0" fontId="6" fillId="0" borderId="9" xfId="0" applyFont="1" applyFill="1" applyBorder="1" applyAlignment="1" applyProtection="1">
      <alignment horizontal="center" vertical="center"/>
      <protection locked="0"/>
    </xf>
    <xf numFmtId="0" fontId="6" fillId="0" borderId="48" xfId="0" applyFont="1" applyFill="1" applyBorder="1" applyAlignment="1" applyProtection="1">
      <alignment horizontal="center" vertical="center"/>
      <protection locked="0"/>
    </xf>
    <xf numFmtId="0" fontId="0" fillId="0" borderId="1" xfId="0" applyBorder="1" applyAlignment="1" applyProtection="1">
      <alignment horizontal="center"/>
      <protection locked="0"/>
    </xf>
    <xf numFmtId="0" fontId="6" fillId="4" borderId="71" xfId="0" applyFont="1" applyFill="1" applyBorder="1" applyAlignment="1">
      <alignment horizontal="center"/>
    </xf>
    <xf numFmtId="0" fontId="8" fillId="4" borderId="32" xfId="0" applyFont="1" applyFill="1" applyBorder="1" applyAlignment="1">
      <alignment horizontal="center"/>
    </xf>
    <xf numFmtId="0" fontId="8" fillId="4" borderId="36" xfId="0" applyFont="1" applyFill="1" applyBorder="1" applyAlignment="1">
      <alignment horizontal="center"/>
    </xf>
    <xf numFmtId="3" fontId="0" fillId="19" borderId="19" xfId="0" applyNumberFormat="1" applyFill="1" applyBorder="1" applyAlignment="1" applyProtection="1">
      <alignment horizontal="center"/>
      <protection locked="0"/>
    </xf>
    <xf numFmtId="3" fontId="0" fillId="19" borderId="20" xfId="0" applyNumberFormat="1" applyFill="1" applyBorder="1" applyAlignment="1" applyProtection="1">
      <alignment horizontal="center"/>
      <protection locked="0"/>
    </xf>
    <xf numFmtId="0" fontId="8" fillId="13" borderId="72" xfId="0" applyFont="1" applyFill="1" applyBorder="1" applyAlignment="1">
      <alignment horizontal="center" vertical="center" wrapText="1"/>
    </xf>
    <xf numFmtId="0" fontId="6" fillId="0" borderId="7" xfId="0" applyFont="1" applyBorder="1" applyAlignment="1" applyProtection="1">
      <alignment horizontal="center" vertical="center"/>
      <protection locked="0"/>
    </xf>
    <xf numFmtId="0" fontId="6" fillId="0" borderId="73" xfId="0" applyFont="1" applyBorder="1" applyAlignment="1" applyProtection="1">
      <alignment horizontal="center" vertical="center"/>
      <protection locked="0"/>
    </xf>
    <xf numFmtId="0" fontId="0" fillId="0" borderId="0" xfId="0" applyFill="1" applyAlignment="1" applyProtection="1">
      <alignment horizontal="center"/>
    </xf>
    <xf numFmtId="0" fontId="1" fillId="13" borderId="38" xfId="0" applyFont="1" applyFill="1" applyBorder="1" applyAlignment="1" applyProtection="1">
      <alignment horizontal="center" wrapText="1"/>
    </xf>
    <xf numFmtId="0" fontId="1" fillId="13" borderId="39" xfId="0" applyFont="1" applyFill="1" applyBorder="1" applyAlignment="1" applyProtection="1">
      <alignment horizontal="center" wrapText="1"/>
    </xf>
    <xf numFmtId="0" fontId="1" fillId="4" borderId="1" xfId="0" applyFont="1" applyFill="1" applyBorder="1" applyAlignment="1" applyProtection="1">
      <alignment horizontal="center"/>
    </xf>
    <xf numFmtId="0" fontId="1" fillId="4" borderId="44" xfId="0" applyFont="1" applyFill="1" applyBorder="1" applyAlignment="1" applyProtection="1">
      <alignment horizontal="center"/>
    </xf>
    <xf numFmtId="3" fontId="0" fillId="12" borderId="40" xfId="0" applyNumberFormat="1" applyFill="1" applyBorder="1" applyAlignment="1" applyProtection="1">
      <alignment horizontal="center"/>
    </xf>
    <xf numFmtId="3" fontId="0" fillId="12" borderId="41" xfId="0" applyNumberFormat="1" applyFill="1" applyBorder="1" applyAlignment="1" applyProtection="1">
      <alignment horizontal="center"/>
    </xf>
    <xf numFmtId="0" fontId="0" fillId="0" borderId="0" xfId="0" applyFill="1" applyAlignment="1" applyProtection="1">
      <alignment horizontal="left"/>
    </xf>
    <xf numFmtId="0" fontId="1" fillId="13" borderId="33" xfId="0" applyFont="1" applyFill="1" applyBorder="1" applyAlignment="1" applyProtection="1">
      <alignment horizontal="center" wrapText="1"/>
    </xf>
    <xf numFmtId="0" fontId="0" fillId="0" borderId="0" xfId="0" applyAlignment="1" applyProtection="1">
      <alignment horizontal="center" wrapText="1"/>
    </xf>
    <xf numFmtId="0" fontId="1" fillId="4" borderId="56" xfId="0" applyFont="1" applyFill="1" applyBorder="1" applyAlignment="1" applyProtection="1">
      <alignment horizontal="center"/>
    </xf>
    <xf numFmtId="3" fontId="0" fillId="12" borderId="46" xfId="0" applyNumberFormat="1" applyFill="1" applyBorder="1" applyAlignment="1" applyProtection="1">
      <alignment horizontal="center"/>
    </xf>
    <xf numFmtId="3" fontId="0" fillId="12" borderId="64" xfId="0" applyNumberFormat="1" applyFill="1" applyBorder="1" applyAlignment="1" applyProtection="1">
      <alignment horizontal="center"/>
    </xf>
    <xf numFmtId="9" fontId="0" fillId="12" borderId="35" xfId="2" applyFont="1" applyFill="1" applyBorder="1" applyAlignment="1" applyProtection="1">
      <alignment horizontal="center"/>
    </xf>
    <xf numFmtId="9" fontId="0" fillId="12" borderId="20" xfId="2" applyFont="1" applyFill="1" applyBorder="1" applyAlignment="1" applyProtection="1">
      <alignment horizontal="center"/>
    </xf>
    <xf numFmtId="0" fontId="0" fillId="0" borderId="0" xfId="0" applyBorder="1" applyAlignment="1" applyProtection="1">
      <alignment horizontal="center"/>
    </xf>
    <xf numFmtId="0" fontId="0" fillId="0" borderId="0" xfId="0" applyFill="1" applyAlignment="1" applyProtection="1">
      <alignment horizontal="right"/>
    </xf>
    <xf numFmtId="0" fontId="1" fillId="13" borderId="34" xfId="0" applyFont="1" applyFill="1" applyBorder="1" applyAlignment="1" applyProtection="1">
      <alignment horizontal="center" wrapText="1"/>
    </xf>
    <xf numFmtId="0" fontId="1" fillId="13" borderId="49" xfId="0" applyFont="1" applyFill="1" applyBorder="1" applyAlignment="1" applyProtection="1">
      <alignment horizontal="center" wrapText="1"/>
    </xf>
    <xf numFmtId="0" fontId="1" fillId="4" borderId="45" xfId="0" applyFont="1" applyFill="1" applyBorder="1" applyAlignment="1" applyProtection="1">
      <alignment horizontal="center"/>
    </xf>
    <xf numFmtId="0" fontId="1" fillId="4" borderId="48" xfId="0" applyFont="1" applyFill="1" applyBorder="1" applyAlignment="1" applyProtection="1">
      <alignment horizontal="center"/>
    </xf>
    <xf numFmtId="0" fontId="1" fillId="4" borderId="40" xfId="0" applyFont="1" applyFill="1" applyBorder="1" applyAlignment="1" applyProtection="1">
      <alignment horizontal="center"/>
    </xf>
    <xf numFmtId="0" fontId="1" fillId="4" borderId="53" xfId="0" applyFont="1" applyFill="1" applyBorder="1" applyAlignment="1" applyProtection="1">
      <alignment horizontal="center"/>
    </xf>
    <xf numFmtId="3" fontId="0" fillId="12" borderId="9" xfId="0" applyNumberFormat="1" applyFont="1" applyFill="1" applyBorder="1" applyAlignment="1" applyProtection="1">
      <alignment horizontal="center"/>
    </xf>
    <xf numFmtId="0" fontId="0" fillId="0" borderId="22" xfId="0" applyBorder="1" applyAlignment="1" applyProtection="1">
      <alignment horizontal="center"/>
    </xf>
    <xf numFmtId="0" fontId="0" fillId="0" borderId="23" xfId="0" applyBorder="1" applyAlignment="1" applyProtection="1">
      <alignment horizontal="center"/>
    </xf>
    <xf numFmtId="0" fontId="1" fillId="4" borderId="54" xfId="0" applyFont="1" applyFill="1" applyBorder="1" applyAlignment="1" applyProtection="1">
      <alignment horizontal="center"/>
    </xf>
    <xf numFmtId="3" fontId="0" fillId="12" borderId="62" xfId="0" applyNumberFormat="1" applyFont="1" applyFill="1" applyBorder="1" applyAlignment="1" applyProtection="1">
      <alignment horizontal="center"/>
    </xf>
    <xf numFmtId="3" fontId="6" fillId="12" borderId="37" xfId="0" applyNumberFormat="1" applyFont="1" applyFill="1" applyBorder="1" applyAlignment="1" applyProtection="1">
      <alignment horizontal="center"/>
    </xf>
    <xf numFmtId="3" fontId="6" fillId="19" borderId="37" xfId="0" applyNumberFormat="1" applyFont="1" applyFill="1" applyBorder="1" applyAlignment="1" applyProtection="1">
      <alignment horizontal="center" vertical="center"/>
    </xf>
    <xf numFmtId="0" fontId="0" fillId="20" borderId="1" xfId="0" applyFill="1" applyBorder="1" applyAlignment="1" applyProtection="1">
      <alignment horizontal="center"/>
    </xf>
    <xf numFmtId="0" fontId="14" fillId="0" borderId="0" xfId="0" applyFont="1"/>
    <xf numFmtId="0" fontId="1" fillId="0" borderId="1" xfId="0" applyFont="1" applyBorder="1" applyAlignment="1">
      <alignment horizontal="center" vertical="center"/>
    </xf>
    <xf numFmtId="0" fontId="1" fillId="0" borderId="1" xfId="0" applyFont="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wrapText="1"/>
    </xf>
    <xf numFmtId="0" fontId="0" fillId="0" borderId="1" xfId="0" applyFill="1" applyBorder="1"/>
    <xf numFmtId="9" fontId="0" fillId="12" borderId="21" xfId="2" applyNumberFormat="1" applyFont="1" applyFill="1" applyBorder="1" applyAlignment="1" applyProtection="1">
      <alignment horizontal="center"/>
    </xf>
    <xf numFmtId="0" fontId="1" fillId="4" borderId="73" xfId="0" applyFont="1" applyFill="1" applyBorder="1" applyAlignment="1" applyProtection="1">
      <alignment horizontal="center"/>
    </xf>
    <xf numFmtId="3" fontId="0" fillId="12" borderId="8" xfId="0" applyNumberFormat="1" applyFont="1" applyFill="1" applyBorder="1" applyAlignment="1" applyProtection="1">
      <alignment horizontal="center"/>
    </xf>
    <xf numFmtId="3" fontId="0" fillId="12" borderId="25" xfId="0" applyNumberFormat="1" applyFont="1" applyFill="1" applyBorder="1" applyAlignment="1" applyProtection="1">
      <alignment horizontal="center"/>
    </xf>
    <xf numFmtId="0" fontId="0" fillId="12" borderId="43" xfId="0" applyFont="1" applyFill="1" applyBorder="1" applyAlignment="1" applyProtection="1">
      <alignment horizontal="center"/>
    </xf>
    <xf numFmtId="0" fontId="0" fillId="12" borderId="45" xfId="0" applyFont="1" applyFill="1" applyBorder="1" applyAlignment="1" applyProtection="1">
      <alignment horizontal="center"/>
    </xf>
    <xf numFmtId="0" fontId="1" fillId="13" borderId="72" xfId="0" applyFont="1" applyFill="1" applyBorder="1" applyAlignment="1" applyProtection="1">
      <alignment horizontal="center" wrapText="1"/>
    </xf>
    <xf numFmtId="0" fontId="1" fillId="13" borderId="30" xfId="0" applyFont="1" applyFill="1" applyBorder="1" applyAlignment="1" applyProtection="1">
      <alignment horizontal="center" wrapText="1"/>
    </xf>
    <xf numFmtId="3" fontId="0" fillId="12" borderId="1" xfId="0" applyNumberFormat="1" applyFont="1" applyFill="1" applyBorder="1" applyAlignment="1" applyProtection="1">
      <alignment horizontal="center"/>
    </xf>
    <xf numFmtId="0" fontId="0" fillId="12" borderId="34" xfId="0" applyFont="1" applyFill="1" applyBorder="1" applyAlignment="1" applyProtection="1">
      <alignment horizontal="center"/>
    </xf>
    <xf numFmtId="3" fontId="0" fillId="12" borderId="49" xfId="0" applyNumberFormat="1" applyFont="1" applyFill="1" applyBorder="1" applyAlignment="1" applyProtection="1">
      <alignment horizontal="center"/>
    </xf>
    <xf numFmtId="3" fontId="0" fillId="12" borderId="77" xfId="0" applyNumberFormat="1" applyFont="1" applyFill="1" applyBorder="1" applyAlignment="1" applyProtection="1">
      <alignment horizontal="center"/>
    </xf>
    <xf numFmtId="3" fontId="0" fillId="12" borderId="38" xfId="0" applyNumberFormat="1" applyFont="1" applyFill="1" applyBorder="1" applyAlignment="1" applyProtection="1">
      <alignment horizontal="center"/>
    </xf>
    <xf numFmtId="3" fontId="0" fillId="12" borderId="40" xfId="0" applyNumberFormat="1" applyFont="1" applyFill="1" applyBorder="1" applyAlignment="1" applyProtection="1">
      <alignment horizontal="center"/>
    </xf>
    <xf numFmtId="0" fontId="0" fillId="20" borderId="39" xfId="0" applyFill="1" applyBorder="1" applyAlignment="1" applyProtection="1">
      <alignment horizontal="center"/>
    </xf>
    <xf numFmtId="0" fontId="0" fillId="20" borderId="44" xfId="0" applyFill="1" applyBorder="1" applyAlignment="1" applyProtection="1">
      <alignment horizontal="center"/>
    </xf>
    <xf numFmtId="0" fontId="0" fillId="20" borderId="41" xfId="0" applyFill="1" applyBorder="1" applyAlignment="1" applyProtection="1">
      <alignment horizontal="center"/>
    </xf>
    <xf numFmtId="0" fontId="0" fillId="0" borderId="1" xfId="0" applyBorder="1" applyAlignment="1">
      <alignment horizontal="center"/>
    </xf>
    <xf numFmtId="14" fontId="0" fillId="0" borderId="1" xfId="0" applyNumberFormat="1" applyBorder="1" applyAlignment="1">
      <alignment horizontal="center"/>
    </xf>
    <xf numFmtId="0" fontId="1" fillId="4" borderId="10" xfId="0" applyFont="1" applyFill="1" applyBorder="1" applyAlignment="1">
      <alignment horizontal="center"/>
    </xf>
    <xf numFmtId="0" fontId="1" fillId="4" borderId="11" xfId="0" applyFont="1" applyFill="1" applyBorder="1" applyAlignment="1">
      <alignment horizontal="center"/>
    </xf>
    <xf numFmtId="0" fontId="1" fillId="4" borderId="12" xfId="0" applyFont="1" applyFill="1" applyBorder="1" applyAlignment="1">
      <alignment horizontal="center"/>
    </xf>
    <xf numFmtId="0" fontId="1" fillId="4" borderId="5" xfId="0" applyFont="1" applyFill="1" applyBorder="1" applyAlignment="1">
      <alignment horizontal="right" vertical="top"/>
    </xf>
    <xf numFmtId="0" fontId="1" fillId="4" borderId="0" xfId="0" applyFont="1" applyFill="1" applyBorder="1" applyAlignment="1">
      <alignment horizontal="right" vertical="top"/>
    </xf>
    <xf numFmtId="0" fontId="1" fillId="4" borderId="6" xfId="0" applyFont="1" applyFill="1" applyBorder="1" applyAlignment="1">
      <alignment horizontal="right" vertical="top"/>
    </xf>
    <xf numFmtId="0" fontId="0" fillId="4" borderId="5" xfId="0" applyFill="1" applyBorder="1" applyAlignment="1">
      <alignment horizontal="left" vertical="top"/>
    </xf>
    <xf numFmtId="0" fontId="0" fillId="4" borderId="0" xfId="0" applyFill="1" applyBorder="1" applyAlignment="1">
      <alignment horizontal="left" vertical="top"/>
    </xf>
    <xf numFmtId="0" fontId="0" fillId="4" borderId="6" xfId="0" applyFill="1" applyBorder="1" applyAlignment="1">
      <alignment horizontal="left" vertical="top"/>
    </xf>
    <xf numFmtId="0" fontId="10" fillId="4" borderId="10" xfId="0" applyFont="1" applyFill="1" applyBorder="1" applyAlignment="1">
      <alignment horizontal="left"/>
    </xf>
    <xf numFmtId="0" fontId="10" fillId="4" borderId="11" xfId="0" applyFont="1" applyFill="1" applyBorder="1" applyAlignment="1">
      <alignment horizontal="left"/>
    </xf>
    <xf numFmtId="0" fontId="10" fillId="4" borderId="12" xfId="0" applyFont="1" applyFill="1" applyBorder="1" applyAlignment="1">
      <alignment horizontal="left"/>
    </xf>
    <xf numFmtId="0" fontId="1" fillId="14" borderId="10" xfId="0" applyFont="1" applyFill="1" applyBorder="1" applyAlignment="1">
      <alignment horizontal="center"/>
    </xf>
    <xf numFmtId="0" fontId="1" fillId="14" borderId="11" xfId="0" applyFont="1" applyFill="1" applyBorder="1" applyAlignment="1">
      <alignment horizontal="center"/>
    </xf>
    <xf numFmtId="0" fontId="1" fillId="14" borderId="12" xfId="0" applyFont="1" applyFill="1" applyBorder="1" applyAlignment="1">
      <alignment horizontal="center"/>
    </xf>
    <xf numFmtId="0" fontId="2" fillId="15" borderId="2" xfId="0" applyFont="1" applyFill="1" applyBorder="1" applyAlignment="1">
      <alignment horizontal="center"/>
    </xf>
    <xf numFmtId="0" fontId="2" fillId="15" borderId="3" xfId="0" applyFont="1" applyFill="1" applyBorder="1" applyAlignment="1">
      <alignment horizontal="center"/>
    </xf>
    <xf numFmtId="0" fontId="2" fillId="15" borderId="4" xfId="0" applyFont="1" applyFill="1" applyBorder="1" applyAlignment="1">
      <alignment horizontal="center"/>
    </xf>
    <xf numFmtId="0" fontId="0" fillId="4" borderId="5" xfId="0" applyFill="1" applyBorder="1" applyAlignment="1">
      <alignment horizontal="left" vertical="top" wrapText="1"/>
    </xf>
    <xf numFmtId="0" fontId="0" fillId="4" borderId="0" xfId="0" applyFill="1" applyBorder="1" applyAlignment="1">
      <alignment horizontal="left" vertical="top" wrapText="1"/>
    </xf>
    <xf numFmtId="0" fontId="0" fillId="4" borderId="6" xfId="0" applyFill="1" applyBorder="1" applyAlignment="1">
      <alignment horizontal="left" vertical="top" wrapText="1"/>
    </xf>
    <xf numFmtId="0" fontId="1" fillId="4" borderId="5" xfId="0" applyFont="1" applyFill="1" applyBorder="1" applyAlignment="1">
      <alignment horizontal="right" vertical="top" wrapText="1"/>
    </xf>
    <xf numFmtId="0" fontId="1" fillId="4" borderId="0" xfId="0" applyFont="1" applyFill="1" applyBorder="1" applyAlignment="1">
      <alignment horizontal="right" vertical="top" wrapText="1"/>
    </xf>
    <xf numFmtId="0" fontId="1" fillId="4" borderId="6" xfId="0" applyFont="1" applyFill="1" applyBorder="1" applyAlignment="1">
      <alignment horizontal="right" vertical="top" wrapText="1"/>
    </xf>
    <xf numFmtId="0" fontId="0" fillId="14" borderId="10" xfId="0" applyFill="1" applyBorder="1" applyAlignment="1">
      <alignment horizontal="center" vertical="top" wrapText="1"/>
    </xf>
    <xf numFmtId="0" fontId="0" fillId="14" borderId="11" xfId="0" applyFill="1" applyBorder="1" applyAlignment="1">
      <alignment horizontal="center" vertical="top" wrapText="1"/>
    </xf>
    <xf numFmtId="0" fontId="0" fillId="14" borderId="12" xfId="0" applyFill="1" applyBorder="1" applyAlignment="1">
      <alignment horizontal="center" vertical="top" wrapText="1"/>
    </xf>
    <xf numFmtId="0" fontId="4" fillId="4" borderId="5" xfId="1" applyFill="1" applyBorder="1" applyAlignment="1">
      <alignment horizontal="left" vertical="top"/>
    </xf>
    <xf numFmtId="0" fontId="4" fillId="4" borderId="0" xfId="1" applyFill="1" applyBorder="1" applyAlignment="1">
      <alignment horizontal="left" vertical="top"/>
    </xf>
    <xf numFmtId="0" fontId="4" fillId="4" borderId="6" xfId="1" applyFill="1" applyBorder="1" applyAlignment="1">
      <alignment horizontal="left" vertical="top"/>
    </xf>
    <xf numFmtId="0" fontId="4" fillId="4" borderId="5" xfId="1" applyFill="1" applyBorder="1" applyAlignment="1">
      <alignment horizontal="left" vertical="top" wrapText="1"/>
    </xf>
    <xf numFmtId="0" fontId="4" fillId="4" borderId="0" xfId="1" applyFill="1" applyBorder="1" applyAlignment="1">
      <alignment horizontal="left" vertical="top" wrapText="1"/>
    </xf>
    <xf numFmtId="0" fontId="4" fillId="4" borderId="6" xfId="1" applyFill="1" applyBorder="1" applyAlignment="1">
      <alignment horizontal="left" vertical="top" wrapText="1"/>
    </xf>
    <xf numFmtId="0" fontId="0" fillId="4" borderId="10" xfId="0" applyFont="1" applyFill="1" applyBorder="1" applyAlignment="1">
      <alignment horizontal="center"/>
    </xf>
    <xf numFmtId="0" fontId="0" fillId="4" borderId="11" xfId="0" applyFont="1" applyFill="1" applyBorder="1" applyAlignment="1">
      <alignment horizontal="center"/>
    </xf>
    <xf numFmtId="0" fontId="0" fillId="4" borderId="12" xfId="0" applyFont="1" applyFill="1" applyBorder="1" applyAlignment="1">
      <alignment horizontal="center"/>
    </xf>
    <xf numFmtId="0" fontId="0" fillId="4" borderId="2" xfId="0" applyFill="1" applyBorder="1" applyAlignment="1">
      <alignment horizontal="left" vertical="top" wrapText="1"/>
    </xf>
    <xf numFmtId="0" fontId="0" fillId="4" borderId="3" xfId="0" applyFill="1" applyBorder="1" applyAlignment="1">
      <alignment horizontal="left" vertical="top" wrapText="1"/>
    </xf>
    <xf numFmtId="0" fontId="0" fillId="4" borderId="4" xfId="0" applyFill="1" applyBorder="1" applyAlignment="1">
      <alignment horizontal="left" vertical="top" wrapText="1"/>
    </xf>
    <xf numFmtId="0" fontId="0" fillId="4" borderId="7" xfId="0" applyFill="1" applyBorder="1" applyAlignment="1">
      <alignment horizontal="left" vertical="top" wrapText="1"/>
    </xf>
    <xf numFmtId="0" fontId="0" fillId="4" borderId="8" xfId="0" applyFill="1" applyBorder="1" applyAlignment="1">
      <alignment horizontal="left" vertical="top" wrapText="1"/>
    </xf>
    <xf numFmtId="0" fontId="0" fillId="4" borderId="9" xfId="0" applyFill="1" applyBorder="1" applyAlignment="1">
      <alignment horizontal="left" vertical="top" wrapText="1"/>
    </xf>
    <xf numFmtId="0" fontId="1" fillId="4" borderId="10" xfId="0" applyFont="1" applyFill="1" applyBorder="1" applyAlignment="1">
      <alignment horizontal="right" vertical="top"/>
    </xf>
    <xf numFmtId="0" fontId="1" fillId="4" borderId="11" xfId="0" applyFont="1" applyFill="1" applyBorder="1" applyAlignment="1">
      <alignment horizontal="right" vertical="top"/>
    </xf>
    <xf numFmtId="0" fontId="1" fillId="4" borderId="12" xfId="0" applyFont="1" applyFill="1" applyBorder="1" applyAlignment="1">
      <alignment horizontal="right" vertical="top"/>
    </xf>
    <xf numFmtId="0" fontId="0" fillId="4" borderId="10" xfId="0" applyFill="1" applyBorder="1" applyAlignment="1">
      <alignment horizontal="left" vertical="top" wrapText="1"/>
    </xf>
    <xf numFmtId="0" fontId="0" fillId="4" borderId="11" xfId="0" applyFill="1" applyBorder="1" applyAlignment="1">
      <alignment horizontal="left" vertical="top" wrapText="1"/>
    </xf>
    <xf numFmtId="0" fontId="0" fillId="4" borderId="12" xfId="0" applyFill="1" applyBorder="1" applyAlignment="1">
      <alignment horizontal="left" vertical="top" wrapText="1"/>
    </xf>
    <xf numFmtId="0" fontId="13" fillId="3" borderId="10" xfId="0" applyFont="1" applyFill="1" applyBorder="1" applyAlignment="1">
      <alignment horizontal="center" wrapText="1"/>
    </xf>
    <xf numFmtId="0" fontId="13" fillId="3" borderId="11" xfId="0" applyFont="1" applyFill="1" applyBorder="1" applyAlignment="1">
      <alignment horizontal="center" wrapText="1"/>
    </xf>
    <xf numFmtId="0" fontId="13" fillId="3" borderId="12" xfId="0" applyFont="1" applyFill="1" applyBorder="1" applyAlignment="1">
      <alignment horizont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3" fillId="15" borderId="2" xfId="0" applyFont="1" applyFill="1" applyBorder="1" applyAlignment="1">
      <alignment horizontal="center" vertical="center" wrapText="1"/>
    </xf>
    <xf numFmtId="0" fontId="3" fillId="15" borderId="3" xfId="0" applyFont="1" applyFill="1" applyBorder="1" applyAlignment="1">
      <alignment horizontal="center" vertical="center" wrapText="1"/>
    </xf>
    <xf numFmtId="0" fontId="3" fillId="15" borderId="4" xfId="0" applyFont="1" applyFill="1" applyBorder="1" applyAlignment="1">
      <alignment horizontal="center" vertical="center" wrapText="1"/>
    </xf>
    <xf numFmtId="0" fontId="3" fillId="15" borderId="5" xfId="0" applyFont="1" applyFill="1" applyBorder="1" applyAlignment="1">
      <alignment horizontal="center" vertical="center" wrapText="1"/>
    </xf>
    <xf numFmtId="0" fontId="3" fillId="15" borderId="0" xfId="0" applyFont="1" applyFill="1" applyBorder="1" applyAlignment="1">
      <alignment horizontal="center" vertical="center" wrapText="1"/>
    </xf>
    <xf numFmtId="0" fontId="3" fillId="15" borderId="6" xfId="0" applyFont="1" applyFill="1" applyBorder="1" applyAlignment="1">
      <alignment horizontal="center" vertical="center" wrapText="1"/>
    </xf>
    <xf numFmtId="0" fontId="12" fillId="13" borderId="16" xfId="0" applyFont="1" applyFill="1" applyBorder="1" applyAlignment="1" applyProtection="1">
      <alignment horizontal="center" vertical="top" wrapText="1"/>
    </xf>
    <xf numFmtId="0" fontId="12" fillId="13" borderId="17" xfId="0" applyFont="1" applyFill="1" applyBorder="1" applyAlignment="1" applyProtection="1">
      <alignment horizontal="center" vertical="top" wrapText="1"/>
    </xf>
    <xf numFmtId="0" fontId="12" fillId="13" borderId="22" xfId="0" applyFont="1" applyFill="1" applyBorder="1" applyAlignment="1" applyProtection="1">
      <alignment horizontal="center" vertical="top" wrapText="1"/>
    </xf>
    <xf numFmtId="0" fontId="12" fillId="13" borderId="23" xfId="0" applyFont="1" applyFill="1" applyBorder="1" applyAlignment="1" applyProtection="1">
      <alignment horizontal="center" vertical="top" wrapText="1"/>
    </xf>
    <xf numFmtId="0" fontId="12" fillId="13" borderId="24" xfId="0" applyFont="1" applyFill="1" applyBorder="1" applyAlignment="1" applyProtection="1">
      <alignment horizontal="center" vertical="top" wrapText="1"/>
    </xf>
    <xf numFmtId="0" fontId="12" fillId="13" borderId="26" xfId="0" applyFont="1" applyFill="1" applyBorder="1" applyAlignment="1" applyProtection="1">
      <alignment horizontal="center" vertical="top" wrapText="1"/>
    </xf>
    <xf numFmtId="0" fontId="1" fillId="13" borderId="19" xfId="0" applyFont="1" applyFill="1" applyBorder="1" applyAlignment="1" applyProtection="1">
      <alignment horizontal="center" vertical="top" wrapText="1"/>
    </xf>
    <xf numFmtId="0" fontId="1" fillId="13" borderId="21" xfId="0" applyFont="1" applyFill="1" applyBorder="1" applyAlignment="1" applyProtection="1">
      <alignment horizontal="center" vertical="top" wrapText="1"/>
    </xf>
    <xf numFmtId="0" fontId="11" fillId="13" borderId="50" xfId="0" applyFont="1" applyFill="1" applyBorder="1" applyAlignment="1" applyProtection="1">
      <alignment horizontal="center" vertical="top" wrapText="1"/>
    </xf>
    <xf numFmtId="0" fontId="11" fillId="13" borderId="51" xfId="0" applyFont="1" applyFill="1" applyBorder="1" applyAlignment="1" applyProtection="1">
      <alignment horizontal="center" vertical="top" wrapText="1"/>
    </xf>
    <xf numFmtId="0" fontId="11" fillId="13" borderId="74" xfId="0" applyFont="1" applyFill="1" applyBorder="1" applyAlignment="1" applyProtection="1">
      <alignment horizontal="center" vertical="center" wrapText="1"/>
    </xf>
    <xf numFmtId="0" fontId="11" fillId="13" borderId="33" xfId="0" applyFont="1" applyFill="1" applyBorder="1" applyAlignment="1" applyProtection="1">
      <alignment horizontal="center" vertical="center" wrapText="1"/>
    </xf>
    <xf numFmtId="0" fontId="1" fillId="4" borderId="75" xfId="0" applyFont="1" applyFill="1" applyBorder="1" applyAlignment="1" applyProtection="1">
      <alignment horizontal="center" vertical="center" wrapText="1"/>
    </xf>
    <xf numFmtId="0" fontId="1" fillId="4" borderId="56" xfId="0" applyFont="1" applyFill="1" applyBorder="1" applyAlignment="1" applyProtection="1">
      <alignment horizontal="center" vertical="center" wrapText="1"/>
    </xf>
    <xf numFmtId="3" fontId="0" fillId="12" borderId="76" xfId="0" applyNumberFormat="1" applyFont="1" applyFill="1" applyBorder="1" applyAlignment="1" applyProtection="1">
      <alignment horizontal="center"/>
    </xf>
    <xf numFmtId="3" fontId="0" fillId="12" borderId="64" xfId="0" applyNumberFormat="1" applyFont="1" applyFill="1" applyBorder="1" applyAlignment="1" applyProtection="1">
      <alignment horizontal="center"/>
    </xf>
    <xf numFmtId="3" fontId="0" fillId="12" borderId="75" xfId="0" applyNumberFormat="1" applyFont="1" applyFill="1" applyBorder="1" applyAlignment="1" applyProtection="1">
      <alignment horizontal="center"/>
    </xf>
    <xf numFmtId="3" fontId="0" fillId="12" borderId="56" xfId="0" applyNumberFormat="1" applyFont="1" applyFill="1" applyBorder="1" applyAlignment="1" applyProtection="1">
      <alignment horizontal="center"/>
    </xf>
    <xf numFmtId="0" fontId="1" fillId="17" borderId="60" xfId="0" applyFont="1" applyFill="1" applyBorder="1" applyAlignment="1">
      <alignment horizontal="left"/>
    </xf>
    <xf numFmtId="0" fontId="1" fillId="10" borderId="13" xfId="0" applyFont="1" applyFill="1" applyBorder="1" applyAlignment="1">
      <alignment horizontal="left"/>
    </xf>
    <xf numFmtId="0" fontId="1" fillId="10" borderId="14" xfId="0" applyFont="1" applyFill="1" applyBorder="1" applyAlignment="1">
      <alignment horizontal="left"/>
    </xf>
    <xf numFmtId="0" fontId="1" fillId="10" borderId="15" xfId="0" applyFont="1" applyFill="1" applyBorder="1" applyAlignment="1">
      <alignment horizontal="left"/>
    </xf>
    <xf numFmtId="0" fontId="1" fillId="16" borderId="13" xfId="0" applyFont="1" applyFill="1" applyBorder="1" applyAlignment="1">
      <alignment horizontal="left"/>
    </xf>
    <xf numFmtId="0" fontId="1" fillId="16" borderId="14" xfId="0" applyFont="1" applyFill="1" applyBorder="1" applyAlignment="1">
      <alignment horizontal="left"/>
    </xf>
    <xf numFmtId="0" fontId="1" fillId="16" borderId="13" xfId="0" applyFont="1" applyFill="1" applyBorder="1" applyAlignment="1">
      <alignment horizontal="left" vertical="top"/>
    </xf>
    <xf numFmtId="0" fontId="1" fillId="16" borderId="14" xfId="0" applyFont="1" applyFill="1" applyBorder="1" applyAlignment="1">
      <alignment horizontal="left" vertical="top"/>
    </xf>
    <xf numFmtId="0" fontId="1" fillId="16" borderId="15" xfId="0" applyFont="1" applyFill="1" applyBorder="1" applyAlignment="1">
      <alignment horizontal="left" vertical="top"/>
    </xf>
    <xf numFmtId="0" fontId="1" fillId="7" borderId="13" xfId="0" applyFont="1" applyFill="1" applyBorder="1" applyAlignment="1">
      <alignment horizontal="left"/>
    </xf>
    <xf numFmtId="0" fontId="1" fillId="7" borderId="14" xfId="0" applyFont="1" applyFill="1" applyBorder="1" applyAlignment="1">
      <alignment horizontal="left"/>
    </xf>
    <xf numFmtId="0" fontId="1" fillId="7" borderId="15" xfId="0" applyFont="1" applyFill="1" applyBorder="1" applyAlignment="1">
      <alignment horizontal="left"/>
    </xf>
    <xf numFmtId="0" fontId="1" fillId="16" borderId="15" xfId="0" applyFont="1" applyFill="1" applyBorder="1" applyAlignment="1">
      <alignment horizontal="left"/>
    </xf>
    <xf numFmtId="0" fontId="1" fillId="17" borderId="13" xfId="0" applyFont="1" applyFill="1" applyBorder="1" applyAlignment="1">
      <alignment horizontal="left"/>
    </xf>
    <xf numFmtId="0" fontId="1" fillId="17" borderId="14" xfId="0" applyFont="1" applyFill="1" applyBorder="1" applyAlignment="1">
      <alignment horizontal="left"/>
    </xf>
    <xf numFmtId="0" fontId="1" fillId="17" borderId="15" xfId="0" applyFont="1" applyFill="1" applyBorder="1" applyAlignment="1">
      <alignment horizontal="left"/>
    </xf>
    <xf numFmtId="0" fontId="11" fillId="16" borderId="13" xfId="0" applyFont="1" applyFill="1" applyBorder="1" applyAlignment="1">
      <alignment horizontal="center" vertical="center"/>
    </xf>
    <xf numFmtId="0" fontId="11" fillId="16" borderId="14" xfId="0" applyFont="1" applyFill="1" applyBorder="1" applyAlignment="1">
      <alignment horizontal="center" vertical="center"/>
    </xf>
    <xf numFmtId="0" fontId="11" fillId="16" borderId="65" xfId="0" applyFont="1" applyFill="1" applyBorder="1" applyAlignment="1">
      <alignment horizontal="center" vertical="center"/>
    </xf>
    <xf numFmtId="0" fontId="8" fillId="3" borderId="16" xfId="0" applyFont="1" applyFill="1" applyBorder="1" applyAlignment="1">
      <alignment horizontal="left" vertical="top"/>
    </xf>
    <xf numFmtId="0" fontId="8" fillId="3" borderId="18" xfId="0" applyFont="1" applyFill="1" applyBorder="1" applyAlignment="1">
      <alignment horizontal="left" vertical="top"/>
    </xf>
    <xf numFmtId="0" fontId="8" fillId="3" borderId="17" xfId="0" applyFont="1" applyFill="1" applyBorder="1" applyAlignment="1">
      <alignment horizontal="left" vertical="top"/>
    </xf>
    <xf numFmtId="0" fontId="8" fillId="3" borderId="22" xfId="0" applyFont="1" applyFill="1" applyBorder="1" applyAlignment="1">
      <alignment horizontal="left" vertical="top"/>
    </xf>
    <xf numFmtId="0" fontId="8" fillId="3" borderId="0" xfId="0" applyFont="1" applyFill="1" applyBorder="1" applyAlignment="1">
      <alignment horizontal="left" vertical="top"/>
    </xf>
    <xf numFmtId="0" fontId="8" fillId="3" borderId="23" xfId="0" applyFont="1" applyFill="1" applyBorder="1" applyAlignment="1">
      <alignment horizontal="left" vertical="top"/>
    </xf>
    <xf numFmtId="0" fontId="8" fillId="3" borderId="24" xfId="0" applyFont="1" applyFill="1" applyBorder="1" applyAlignment="1">
      <alignment horizontal="left" vertical="top"/>
    </xf>
    <xf numFmtId="0" fontId="8" fillId="3" borderId="25" xfId="0" applyFont="1" applyFill="1" applyBorder="1" applyAlignment="1">
      <alignment horizontal="left" vertical="top"/>
    </xf>
    <xf numFmtId="0" fontId="8" fillId="3" borderId="26" xfId="0" applyFont="1" applyFill="1" applyBorder="1" applyAlignment="1">
      <alignment horizontal="left" vertical="top"/>
    </xf>
    <xf numFmtId="0" fontId="8" fillId="8" borderId="16" xfId="0" applyFont="1" applyFill="1" applyBorder="1" applyAlignment="1">
      <alignment horizontal="left" vertical="top"/>
    </xf>
    <xf numFmtId="0" fontId="8" fillId="8" borderId="18" xfId="0" applyFont="1" applyFill="1" applyBorder="1" applyAlignment="1">
      <alignment horizontal="left" vertical="top"/>
    </xf>
    <xf numFmtId="0" fontId="8" fillId="8" borderId="17" xfId="0" applyFont="1" applyFill="1" applyBorder="1" applyAlignment="1">
      <alignment horizontal="left" vertical="top"/>
    </xf>
    <xf numFmtId="0" fontId="8" fillId="8" borderId="24" xfId="0" applyFont="1" applyFill="1" applyBorder="1" applyAlignment="1">
      <alignment horizontal="left" vertical="top"/>
    </xf>
    <xf numFmtId="0" fontId="8" fillId="8" borderId="25" xfId="0" applyFont="1" applyFill="1" applyBorder="1" applyAlignment="1">
      <alignment horizontal="left" vertical="top"/>
    </xf>
    <xf numFmtId="0" fontId="8" fillId="8" borderId="26" xfId="0" applyFont="1" applyFill="1" applyBorder="1" applyAlignment="1">
      <alignment horizontal="left" vertical="top"/>
    </xf>
    <xf numFmtId="0" fontId="8" fillId="6" borderId="16" xfId="0" applyFont="1" applyFill="1" applyBorder="1" applyAlignment="1">
      <alignment horizontal="left" vertical="top"/>
    </xf>
    <xf numFmtId="0" fontId="8" fillId="6" borderId="18" xfId="0" applyFont="1" applyFill="1" applyBorder="1" applyAlignment="1">
      <alignment horizontal="left" vertical="top"/>
    </xf>
    <xf numFmtId="0" fontId="8" fillId="6" borderId="17" xfId="0" applyFont="1" applyFill="1" applyBorder="1" applyAlignment="1">
      <alignment horizontal="left" vertical="top"/>
    </xf>
    <xf numFmtId="0" fontId="8" fillId="6" borderId="24" xfId="0" applyFont="1" applyFill="1" applyBorder="1" applyAlignment="1">
      <alignment horizontal="left" vertical="top"/>
    </xf>
    <xf numFmtId="0" fontId="8" fillId="6" borderId="25" xfId="0" applyFont="1" applyFill="1" applyBorder="1" applyAlignment="1">
      <alignment horizontal="left" vertical="top"/>
    </xf>
    <xf numFmtId="0" fontId="8" fillId="6" borderId="26" xfId="0" applyFont="1" applyFill="1" applyBorder="1" applyAlignment="1">
      <alignment horizontal="left" vertical="top"/>
    </xf>
    <xf numFmtId="0" fontId="8" fillId="2" borderId="13" xfId="0" applyFont="1" applyFill="1" applyBorder="1" applyAlignment="1">
      <alignment horizontal="left" vertical="top"/>
    </xf>
    <xf numFmtId="0" fontId="8" fillId="2" borderId="14" xfId="0" applyFont="1" applyFill="1" applyBorder="1" applyAlignment="1">
      <alignment horizontal="left" vertical="top"/>
    </xf>
    <xf numFmtId="0" fontId="8" fillId="3" borderId="14" xfId="0" applyFont="1" applyFill="1" applyBorder="1" applyAlignment="1">
      <alignment horizontal="left"/>
    </xf>
    <xf numFmtId="0" fontId="8" fillId="6" borderId="22" xfId="0" applyFont="1" applyFill="1" applyBorder="1" applyAlignment="1">
      <alignment horizontal="left" vertical="top"/>
    </xf>
    <xf numFmtId="0" fontId="8" fillId="6" borderId="0" xfId="0" applyFont="1" applyFill="1" applyBorder="1" applyAlignment="1">
      <alignment horizontal="left" vertical="top"/>
    </xf>
    <xf numFmtId="0" fontId="8" fillId="6" borderId="23" xfId="0" applyFont="1" applyFill="1" applyBorder="1" applyAlignment="1">
      <alignment horizontal="left" vertical="top"/>
    </xf>
    <xf numFmtId="0" fontId="8" fillId="8" borderId="22" xfId="0" applyFont="1" applyFill="1" applyBorder="1" applyAlignment="1">
      <alignment horizontal="left" vertical="top"/>
    </xf>
    <xf numFmtId="0" fontId="8" fillId="8" borderId="0" xfId="0" applyFont="1" applyFill="1" applyBorder="1" applyAlignment="1">
      <alignment horizontal="left" vertical="top"/>
    </xf>
    <xf numFmtId="0" fontId="8" fillId="8" borderId="23" xfId="0" applyFont="1" applyFill="1" applyBorder="1" applyAlignment="1">
      <alignment horizontal="left" vertical="top"/>
    </xf>
    <xf numFmtId="0" fontId="8" fillId="5" borderId="18" xfId="0" applyFont="1" applyFill="1" applyBorder="1" applyAlignment="1">
      <alignment horizontal="left" vertical="top"/>
    </xf>
    <xf numFmtId="0" fontId="8" fillId="5" borderId="17" xfId="0" applyFont="1" applyFill="1" applyBorder="1" applyAlignment="1">
      <alignment horizontal="left" vertical="top"/>
    </xf>
    <xf numFmtId="0" fontId="8" fillId="5" borderId="0" xfId="0" applyFont="1" applyFill="1" applyBorder="1" applyAlignment="1">
      <alignment horizontal="left" vertical="top"/>
    </xf>
    <xf numFmtId="0" fontId="8" fillId="5" borderId="23" xfId="0" applyFont="1" applyFill="1" applyBorder="1" applyAlignment="1">
      <alignment horizontal="left" vertical="top"/>
    </xf>
    <xf numFmtId="0" fontId="8" fillId="10" borderId="16" xfId="0" applyFont="1" applyFill="1" applyBorder="1" applyAlignment="1">
      <alignment horizontal="left" vertical="top"/>
    </xf>
    <xf numFmtId="0" fontId="8" fillId="10" borderId="18" xfId="0" applyFont="1" applyFill="1" applyBorder="1" applyAlignment="1">
      <alignment horizontal="left" vertical="top"/>
    </xf>
    <xf numFmtId="0" fontId="8" fillId="10" borderId="17" xfId="0" applyFont="1" applyFill="1" applyBorder="1" applyAlignment="1">
      <alignment horizontal="left" vertical="top"/>
    </xf>
    <xf numFmtId="0" fontId="8" fillId="10" borderId="22" xfId="0" applyFont="1" applyFill="1" applyBorder="1" applyAlignment="1">
      <alignment horizontal="left" vertical="top"/>
    </xf>
    <xf numFmtId="0" fontId="8" fillId="10" borderId="0" xfId="0" applyFont="1" applyFill="1" applyBorder="1" applyAlignment="1">
      <alignment horizontal="left" vertical="top"/>
    </xf>
    <xf numFmtId="0" fontId="8" fillId="10" borderId="23" xfId="0" applyFont="1" applyFill="1" applyBorder="1" applyAlignment="1">
      <alignment horizontal="left" vertical="top"/>
    </xf>
    <xf numFmtId="0" fontId="8" fillId="4" borderId="31" xfId="0" applyFont="1" applyFill="1" applyBorder="1" applyAlignment="1">
      <alignment horizontal="center" vertical="center"/>
    </xf>
    <xf numFmtId="0" fontId="8" fillId="4" borderId="63" xfId="0" applyFont="1" applyFill="1" applyBorder="1" applyAlignment="1">
      <alignment horizontal="center" vertical="center"/>
    </xf>
    <xf numFmtId="0" fontId="8" fillId="4" borderId="30" xfId="0" applyFont="1" applyFill="1" applyBorder="1" applyAlignment="1">
      <alignment horizontal="center" vertical="center"/>
    </xf>
    <xf numFmtId="0" fontId="8" fillId="4" borderId="47" xfId="0" applyFont="1" applyFill="1" applyBorder="1" applyAlignment="1">
      <alignment horizontal="center" vertical="center"/>
    </xf>
    <xf numFmtId="0" fontId="8" fillId="9" borderId="13" xfId="0" applyFont="1" applyFill="1" applyBorder="1" applyAlignment="1">
      <alignment horizontal="left"/>
    </xf>
    <xf numFmtId="0" fontId="8" fillId="9" borderId="14" xfId="0" applyFont="1" applyFill="1" applyBorder="1" applyAlignment="1">
      <alignment horizontal="left"/>
    </xf>
    <xf numFmtId="0" fontId="8" fillId="9" borderId="15" xfId="0" applyFont="1" applyFill="1" applyBorder="1" applyAlignment="1">
      <alignment horizontal="left"/>
    </xf>
    <xf numFmtId="0" fontId="8" fillId="4" borderId="27" xfId="0" applyFont="1" applyFill="1" applyBorder="1" applyAlignment="1">
      <alignment horizontal="center" vertical="center"/>
    </xf>
    <xf numFmtId="0" fontId="8" fillId="4" borderId="28" xfId="0" applyFont="1" applyFill="1" applyBorder="1" applyAlignment="1">
      <alignment horizontal="center" vertical="center"/>
    </xf>
    <xf numFmtId="0" fontId="8" fillId="4" borderId="38" xfId="0" applyFont="1" applyFill="1" applyBorder="1" applyAlignment="1">
      <alignment horizontal="center" vertical="center" wrapText="1"/>
    </xf>
    <xf numFmtId="0" fontId="8" fillId="4" borderId="40" xfId="0" applyFont="1" applyFill="1" applyBorder="1" applyAlignment="1">
      <alignment horizontal="center" vertical="center" wrapText="1"/>
    </xf>
    <xf numFmtId="0" fontId="8" fillId="4" borderId="38" xfId="0" applyFont="1" applyFill="1" applyBorder="1" applyAlignment="1">
      <alignment horizontal="center" vertical="center"/>
    </xf>
    <xf numFmtId="0" fontId="8" fillId="4" borderId="40" xfId="0" applyFont="1" applyFill="1" applyBorder="1" applyAlignment="1">
      <alignment horizontal="center" vertical="center"/>
    </xf>
    <xf numFmtId="0" fontId="8" fillId="4" borderId="30" xfId="0" applyFont="1" applyFill="1" applyBorder="1" applyAlignment="1">
      <alignment horizontal="center" vertical="center" wrapText="1"/>
    </xf>
    <xf numFmtId="0" fontId="8" fillId="4" borderId="47" xfId="0" applyFont="1" applyFill="1" applyBorder="1" applyAlignment="1">
      <alignment horizontal="center" vertical="center" wrapText="1"/>
    </xf>
    <xf numFmtId="0" fontId="8" fillId="4" borderId="61" xfId="0" applyFont="1" applyFill="1" applyBorder="1" applyAlignment="1">
      <alignment horizontal="center" vertical="center"/>
    </xf>
    <xf numFmtId="0" fontId="8" fillId="4" borderId="62" xfId="0" applyFont="1" applyFill="1" applyBorder="1" applyAlignment="1">
      <alignment horizontal="center" vertical="center"/>
    </xf>
    <xf numFmtId="0" fontId="1" fillId="7" borderId="18" xfId="0" applyFont="1" applyFill="1" applyBorder="1" applyAlignment="1">
      <alignment horizontal="left"/>
    </xf>
    <xf numFmtId="0" fontId="1" fillId="13" borderId="50" xfId="0" applyFont="1" applyFill="1" applyBorder="1" applyAlignment="1">
      <alignment horizontal="center"/>
    </xf>
    <xf numFmtId="0" fontId="1" fillId="13" borderId="66" xfId="0" applyFont="1" applyFill="1" applyBorder="1" applyAlignment="1">
      <alignment horizontal="center"/>
    </xf>
    <xf numFmtId="0" fontId="1" fillId="13" borderId="51" xfId="0" applyFont="1" applyFill="1" applyBorder="1" applyAlignment="1">
      <alignment horizontal="center"/>
    </xf>
    <xf numFmtId="0" fontId="1" fillId="0" borderId="13" xfId="0" applyFont="1" applyBorder="1" applyAlignment="1">
      <alignment horizontal="left"/>
    </xf>
    <xf numFmtId="0" fontId="1" fillId="0" borderId="14" xfId="0" applyFont="1" applyBorder="1" applyAlignment="1">
      <alignment horizontal="left"/>
    </xf>
    <xf numFmtId="0" fontId="1" fillId="0" borderId="15" xfId="0" applyFont="1" applyBorder="1" applyAlignment="1">
      <alignment horizontal="left"/>
    </xf>
    <xf numFmtId="0" fontId="1" fillId="2" borderId="13" xfId="0" applyFont="1" applyFill="1" applyBorder="1" applyAlignment="1">
      <alignment horizontal="left"/>
    </xf>
    <xf numFmtId="0" fontId="1" fillId="2" borderId="14" xfId="0" applyFont="1" applyFill="1" applyBorder="1" applyAlignment="1">
      <alignment horizontal="left"/>
    </xf>
    <xf numFmtId="0" fontId="1" fillId="2" borderId="15"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xf>
    <xf numFmtId="0" fontId="1" fillId="3" borderId="15" xfId="0" applyFont="1" applyFill="1" applyBorder="1" applyAlignment="1">
      <alignment horizontal="left"/>
    </xf>
    <xf numFmtId="0" fontId="1" fillId="13" borderId="30" xfId="0" applyFont="1" applyFill="1" applyBorder="1" applyAlignment="1">
      <alignment horizontal="center" vertical="center" wrapText="1"/>
    </xf>
    <xf numFmtId="0" fontId="1" fillId="13" borderId="70" xfId="0" applyFont="1" applyFill="1" applyBorder="1" applyAlignment="1">
      <alignment horizontal="center" vertical="center" wrapText="1"/>
    </xf>
    <xf numFmtId="0" fontId="1" fillId="13" borderId="47" xfId="0" applyFont="1" applyFill="1" applyBorder="1" applyAlignment="1">
      <alignment horizontal="center" vertical="center" wrapText="1"/>
    </xf>
    <xf numFmtId="0" fontId="1" fillId="0" borderId="13" xfId="0" applyFont="1" applyFill="1" applyBorder="1" applyAlignment="1">
      <alignment horizontal="left"/>
    </xf>
    <xf numFmtId="0" fontId="1" fillId="0" borderId="14" xfId="0" applyFont="1" applyFill="1" applyBorder="1" applyAlignment="1">
      <alignment horizontal="left"/>
    </xf>
    <xf numFmtId="0" fontId="1" fillId="0" borderId="15" xfId="0" applyFont="1" applyFill="1" applyBorder="1" applyAlignment="1">
      <alignment horizontal="left"/>
    </xf>
    <xf numFmtId="0" fontId="7" fillId="0" borderId="10" xfId="0" applyFont="1" applyBorder="1" applyAlignment="1" applyProtection="1">
      <alignment horizontal="center"/>
    </xf>
    <xf numFmtId="0" fontId="0" fillId="0" borderId="11" xfId="0" applyBorder="1" applyAlignment="1" applyProtection="1">
      <alignment horizontal="center"/>
    </xf>
    <xf numFmtId="0" fontId="0" fillId="0" borderId="12" xfId="0" applyBorder="1" applyAlignment="1" applyProtection="1">
      <alignment horizontal="center"/>
    </xf>
  </cellXfs>
  <cellStyles count="3">
    <cellStyle name="Hyperlink" xfId="1" builtinId="8"/>
    <cellStyle name="Normal" xfId="0" builtinId="0"/>
    <cellStyle name="Percent" xfId="2" builtinId="5"/>
  </cellStyles>
  <dxfs count="0"/>
  <tableStyles count="0" defaultTableStyle="TableStyleMedium2" defaultPivotStyle="PivotStyleLight16"/>
  <colors>
    <mruColors>
      <color rgb="FFB7DEE8"/>
      <color rgb="FF92CDDC"/>
      <color rgb="FFFF00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cgis.maps.arcgis.com/apps/webappviewer/index.html?id=0bdc0da685a6428aabc17a9ae1602412" TargetMode="External"/><Relationship Id="rId1" Type="http://schemas.openxmlformats.org/officeDocument/2006/relationships/hyperlink" Target="https://octo.quickbase.com/up/bjkxxcfcp/g/rcg/eg/va/info_page.html?pagerecord=2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B2:S66"/>
  <sheetViews>
    <sheetView zoomScale="130" zoomScaleNormal="130" workbookViewId="0"/>
  </sheetViews>
  <sheetFormatPr defaultRowHeight="14.4" x14ac:dyDescent="0.3"/>
  <cols>
    <col min="4" max="4" width="17" customWidth="1"/>
    <col min="18" max="18" width="13.88671875" bestFit="1" customWidth="1"/>
    <col min="19" max="19" width="109.5546875" bestFit="1" customWidth="1"/>
  </cols>
  <sheetData>
    <row r="2" spans="2:19" ht="13.95" customHeight="1" x14ac:dyDescent="0.3">
      <c r="B2" s="304" t="s">
        <v>314</v>
      </c>
      <c r="C2" s="305"/>
      <c r="D2" s="305"/>
      <c r="E2" s="305"/>
      <c r="F2" s="305"/>
      <c r="G2" s="305"/>
      <c r="H2" s="305"/>
      <c r="I2" s="305"/>
      <c r="J2" s="305"/>
      <c r="K2" s="305"/>
      <c r="L2" s="305"/>
      <c r="M2" s="305"/>
      <c r="N2" s="305"/>
      <c r="O2" s="306"/>
      <c r="Q2" s="224" t="s">
        <v>313</v>
      </c>
    </row>
    <row r="3" spans="2:19" ht="13.95" customHeight="1" x14ac:dyDescent="0.3">
      <c r="B3" s="307"/>
      <c r="C3" s="308"/>
      <c r="D3" s="308"/>
      <c r="E3" s="308"/>
      <c r="F3" s="308"/>
      <c r="G3" s="308"/>
      <c r="H3" s="308"/>
      <c r="I3" s="308"/>
      <c r="J3" s="308"/>
      <c r="K3" s="308"/>
      <c r="L3" s="308"/>
      <c r="M3" s="308"/>
      <c r="N3" s="308"/>
      <c r="O3" s="309"/>
      <c r="Q3" s="225" t="s">
        <v>295</v>
      </c>
      <c r="R3" s="225" t="s">
        <v>296</v>
      </c>
      <c r="S3" s="226" t="s">
        <v>297</v>
      </c>
    </row>
    <row r="4" spans="2:19" ht="14.4" customHeight="1" x14ac:dyDescent="0.3">
      <c r="B4" s="307"/>
      <c r="C4" s="308"/>
      <c r="D4" s="308"/>
      <c r="E4" s="308"/>
      <c r="F4" s="308"/>
      <c r="G4" s="308"/>
      <c r="H4" s="308"/>
      <c r="I4" s="308"/>
      <c r="J4" s="308"/>
      <c r="K4" s="308"/>
      <c r="L4" s="308"/>
      <c r="M4" s="308"/>
      <c r="N4" s="308"/>
      <c r="O4" s="309"/>
      <c r="Q4" s="227">
        <v>1</v>
      </c>
      <c r="R4" s="228">
        <v>43861</v>
      </c>
      <c r="S4" s="229" t="s">
        <v>298</v>
      </c>
    </row>
    <row r="5" spans="2:19" ht="14.4" customHeight="1" x14ac:dyDescent="0.3">
      <c r="B5" s="307"/>
      <c r="C5" s="308"/>
      <c r="D5" s="308"/>
      <c r="E5" s="308"/>
      <c r="F5" s="308"/>
      <c r="G5" s="308"/>
      <c r="H5" s="308"/>
      <c r="I5" s="308"/>
      <c r="J5" s="308"/>
      <c r="K5" s="308"/>
      <c r="L5" s="308"/>
      <c r="M5" s="308"/>
      <c r="N5" s="308"/>
      <c r="O5" s="309"/>
      <c r="Q5" s="303">
        <v>2</v>
      </c>
      <c r="R5" s="302">
        <v>43955</v>
      </c>
      <c r="S5" s="230" t="s">
        <v>303</v>
      </c>
    </row>
    <row r="6" spans="2:19" ht="14.4" customHeight="1" x14ac:dyDescent="0.3">
      <c r="B6" s="287" t="s">
        <v>265</v>
      </c>
      <c r="C6" s="288"/>
      <c r="D6" s="288"/>
      <c r="E6" s="288"/>
      <c r="F6" s="288"/>
      <c r="G6" s="288"/>
      <c r="H6" s="288"/>
      <c r="I6" s="288"/>
      <c r="J6" s="288"/>
      <c r="K6" s="288"/>
      <c r="L6" s="288"/>
      <c r="M6" s="288"/>
      <c r="N6" s="288"/>
      <c r="O6" s="289"/>
      <c r="Q6" s="303"/>
      <c r="R6" s="302"/>
      <c r="S6" s="229" t="s">
        <v>302</v>
      </c>
    </row>
    <row r="7" spans="2:19" x14ac:dyDescent="0.3">
      <c r="B7" s="269"/>
      <c r="C7" s="270"/>
      <c r="D7" s="270"/>
      <c r="E7" s="270"/>
      <c r="F7" s="270"/>
      <c r="G7" s="270"/>
      <c r="H7" s="270"/>
      <c r="I7" s="270"/>
      <c r="J7" s="270"/>
      <c r="K7" s="270"/>
      <c r="L7" s="270"/>
      <c r="M7" s="270"/>
      <c r="N7" s="270"/>
      <c r="O7" s="271"/>
      <c r="Q7" s="303"/>
      <c r="R7" s="302"/>
      <c r="S7" s="229" t="s">
        <v>304</v>
      </c>
    </row>
    <row r="8" spans="2:19" x14ac:dyDescent="0.3">
      <c r="B8" s="269"/>
      <c r="C8" s="270"/>
      <c r="D8" s="270"/>
      <c r="E8" s="270"/>
      <c r="F8" s="270"/>
      <c r="G8" s="270"/>
      <c r="H8" s="270"/>
      <c r="I8" s="270"/>
      <c r="J8" s="270"/>
      <c r="K8" s="270"/>
      <c r="L8" s="270"/>
      <c r="M8" s="270"/>
      <c r="N8" s="270"/>
      <c r="O8" s="271"/>
      <c r="Q8" s="303"/>
      <c r="R8" s="302"/>
      <c r="S8" s="229" t="s">
        <v>305</v>
      </c>
    </row>
    <row r="9" spans="2:19" x14ac:dyDescent="0.3">
      <c r="B9" s="275"/>
      <c r="C9" s="276"/>
      <c r="D9" s="276"/>
      <c r="E9" s="276"/>
      <c r="F9" s="276"/>
      <c r="G9" s="276"/>
      <c r="H9" s="276"/>
      <c r="I9" s="276"/>
      <c r="J9" s="276"/>
      <c r="K9" s="276"/>
      <c r="L9" s="276"/>
      <c r="M9" s="276"/>
      <c r="N9" s="276"/>
      <c r="O9" s="277"/>
      <c r="Q9" s="303"/>
      <c r="R9" s="302"/>
      <c r="S9" s="231" t="s">
        <v>311</v>
      </c>
    </row>
    <row r="10" spans="2:19" ht="16.95" customHeight="1" x14ac:dyDescent="0.3">
      <c r="B10" s="299" t="s">
        <v>0</v>
      </c>
      <c r="C10" s="300"/>
      <c r="D10" s="300"/>
      <c r="E10" s="300"/>
      <c r="F10" s="300"/>
      <c r="G10" s="300"/>
      <c r="H10" s="300"/>
      <c r="I10" s="300"/>
      <c r="J10" s="300"/>
      <c r="K10" s="300"/>
      <c r="L10" s="300"/>
      <c r="M10" s="300"/>
      <c r="N10" s="300"/>
      <c r="O10" s="301"/>
      <c r="Q10" s="303"/>
      <c r="R10" s="302"/>
      <c r="S10" s="231" t="s">
        <v>309</v>
      </c>
    </row>
    <row r="11" spans="2:19" ht="16.95" customHeight="1" x14ac:dyDescent="0.3">
      <c r="B11" s="98"/>
      <c r="C11" s="99"/>
      <c r="D11" s="99"/>
      <c r="E11" s="99"/>
      <c r="F11" s="99"/>
      <c r="G11" s="99"/>
      <c r="H11" s="99"/>
      <c r="I11" s="99"/>
      <c r="J11" s="99"/>
      <c r="K11" s="99"/>
      <c r="L11" s="99"/>
      <c r="M11" s="99"/>
      <c r="N11" s="99"/>
      <c r="O11" s="100"/>
      <c r="Q11" s="303"/>
      <c r="R11" s="302"/>
      <c r="S11" s="231" t="s">
        <v>310</v>
      </c>
    </row>
    <row r="12" spans="2:19" ht="23.4" x14ac:dyDescent="0.45">
      <c r="B12" s="266" t="s">
        <v>1</v>
      </c>
      <c r="C12" s="267"/>
      <c r="D12" s="267"/>
      <c r="E12" s="267"/>
      <c r="F12" s="267"/>
      <c r="G12" s="267"/>
      <c r="H12" s="267"/>
      <c r="I12" s="267"/>
      <c r="J12" s="267"/>
      <c r="K12" s="267"/>
      <c r="L12" s="267"/>
      <c r="M12" s="267"/>
      <c r="N12" s="267"/>
      <c r="O12" s="268"/>
      <c r="Q12" s="249">
        <v>3</v>
      </c>
      <c r="R12" s="250">
        <v>44232</v>
      </c>
      <c r="S12" s="231" t="s">
        <v>315</v>
      </c>
    </row>
    <row r="13" spans="2:19" ht="15.6" x14ac:dyDescent="0.3">
      <c r="B13" s="260" t="s">
        <v>2</v>
      </c>
      <c r="C13" s="261"/>
      <c r="D13" s="261"/>
      <c r="E13" s="261"/>
      <c r="F13" s="261"/>
      <c r="G13" s="261"/>
      <c r="H13" s="261"/>
      <c r="I13" s="261"/>
      <c r="J13" s="261"/>
      <c r="K13" s="261"/>
      <c r="L13" s="261"/>
      <c r="M13" s="261"/>
      <c r="N13" s="261"/>
      <c r="O13" s="262"/>
    </row>
    <row r="14" spans="2:19" x14ac:dyDescent="0.3">
      <c r="B14" s="284" t="s">
        <v>3</v>
      </c>
      <c r="C14" s="285"/>
      <c r="D14" s="285"/>
      <c r="E14" s="285"/>
      <c r="F14" s="285"/>
      <c r="G14" s="285"/>
      <c r="H14" s="285"/>
      <c r="I14" s="285"/>
      <c r="J14" s="285"/>
      <c r="K14" s="285"/>
      <c r="L14" s="285"/>
      <c r="M14" s="285"/>
      <c r="N14" s="285"/>
      <c r="O14" s="286"/>
    </row>
    <row r="15" spans="2:19" x14ac:dyDescent="0.3">
      <c r="B15" s="263"/>
      <c r="C15" s="264"/>
      <c r="D15" s="264"/>
      <c r="E15" s="264"/>
      <c r="F15" s="264"/>
      <c r="G15" s="264"/>
      <c r="H15" s="264"/>
      <c r="I15" s="264"/>
      <c r="J15" s="264"/>
      <c r="K15" s="264"/>
      <c r="L15" s="264"/>
      <c r="M15" s="264"/>
      <c r="N15" s="264"/>
      <c r="O15" s="265"/>
    </row>
    <row r="16" spans="2:19" ht="15.6" x14ac:dyDescent="0.3">
      <c r="B16" s="260" t="s">
        <v>4</v>
      </c>
      <c r="C16" s="261"/>
      <c r="D16" s="261"/>
      <c r="E16" s="261"/>
      <c r="F16" s="261"/>
      <c r="G16" s="261"/>
      <c r="H16" s="261"/>
      <c r="I16" s="261"/>
      <c r="J16" s="261"/>
      <c r="K16" s="261"/>
      <c r="L16" s="261"/>
      <c r="M16" s="261"/>
      <c r="N16" s="261"/>
      <c r="O16" s="262"/>
    </row>
    <row r="17" spans="2:17" x14ac:dyDescent="0.3">
      <c r="B17" s="105"/>
      <c r="C17" s="106"/>
      <c r="D17" s="106"/>
      <c r="E17" s="107"/>
      <c r="F17" s="107"/>
      <c r="G17" s="107"/>
      <c r="H17" s="107"/>
      <c r="I17" s="107"/>
      <c r="J17" s="107"/>
      <c r="K17" s="107"/>
      <c r="L17" s="107"/>
      <c r="M17" s="107"/>
      <c r="N17" s="107"/>
      <c r="O17" s="108"/>
    </row>
    <row r="18" spans="2:17" ht="23.4" x14ac:dyDescent="0.45">
      <c r="B18" s="266" t="s">
        <v>291</v>
      </c>
      <c r="C18" s="267"/>
      <c r="D18" s="267"/>
      <c r="E18" s="267"/>
      <c r="F18" s="267"/>
      <c r="G18" s="267"/>
      <c r="H18" s="267"/>
      <c r="I18" s="267"/>
      <c r="J18" s="267"/>
      <c r="K18" s="267"/>
      <c r="L18" s="267"/>
      <c r="M18" s="267"/>
      <c r="N18" s="267"/>
      <c r="O18" s="268"/>
    </row>
    <row r="19" spans="2:17" ht="15.6" x14ac:dyDescent="0.3">
      <c r="B19" s="260" t="s">
        <v>292</v>
      </c>
      <c r="C19" s="261"/>
      <c r="D19" s="261"/>
      <c r="E19" s="261"/>
      <c r="F19" s="261"/>
      <c r="G19" s="261"/>
      <c r="H19" s="261"/>
      <c r="I19" s="261"/>
      <c r="J19" s="261"/>
      <c r="K19" s="261"/>
      <c r="L19" s="261"/>
      <c r="M19" s="261"/>
      <c r="N19" s="261"/>
      <c r="O19" s="262"/>
      <c r="Q19" s="2"/>
    </row>
    <row r="20" spans="2:17" x14ac:dyDescent="0.3">
      <c r="B20" s="272" t="s">
        <v>232</v>
      </c>
      <c r="C20" s="273"/>
      <c r="D20" s="274"/>
      <c r="E20" s="278" t="s">
        <v>267</v>
      </c>
      <c r="F20" s="279"/>
      <c r="G20" s="279"/>
      <c r="H20" s="279"/>
      <c r="I20" s="279"/>
      <c r="J20" s="279"/>
      <c r="K20" s="279"/>
      <c r="L20" s="279"/>
      <c r="M20" s="279"/>
      <c r="N20" s="279"/>
      <c r="O20" s="280"/>
    </row>
    <row r="21" spans="2:17" x14ac:dyDescent="0.3">
      <c r="B21" s="272"/>
      <c r="C21" s="273"/>
      <c r="D21" s="274"/>
      <c r="E21" s="278"/>
      <c r="F21" s="279"/>
      <c r="G21" s="279"/>
      <c r="H21" s="279"/>
      <c r="I21" s="279"/>
      <c r="J21" s="279"/>
      <c r="K21" s="279"/>
      <c r="L21" s="279"/>
      <c r="M21" s="279"/>
      <c r="N21" s="279"/>
      <c r="O21" s="280"/>
    </row>
    <row r="22" spans="2:17" ht="14.4" customHeight="1" x14ac:dyDescent="0.3">
      <c r="B22" s="272" t="s">
        <v>299</v>
      </c>
      <c r="C22" s="273"/>
      <c r="D22" s="274"/>
      <c r="E22" s="281" t="s">
        <v>268</v>
      </c>
      <c r="F22" s="282"/>
      <c r="G22" s="282"/>
      <c r="H22" s="282"/>
      <c r="I22" s="282"/>
      <c r="J22" s="282"/>
      <c r="K22" s="282"/>
      <c r="L22" s="282"/>
      <c r="M22" s="282"/>
      <c r="N22" s="282"/>
      <c r="O22" s="283"/>
    </row>
    <row r="23" spans="2:17" x14ac:dyDescent="0.3">
      <c r="B23" s="272"/>
      <c r="C23" s="273"/>
      <c r="D23" s="274"/>
      <c r="E23" s="281"/>
      <c r="F23" s="282"/>
      <c r="G23" s="282"/>
      <c r="H23" s="282"/>
      <c r="I23" s="282"/>
      <c r="J23" s="282"/>
      <c r="K23" s="282"/>
      <c r="L23" s="282"/>
      <c r="M23" s="282"/>
      <c r="N23" s="282"/>
      <c r="O23" s="283"/>
    </row>
    <row r="24" spans="2:17" ht="15.6" x14ac:dyDescent="0.3">
      <c r="B24" s="260" t="s">
        <v>14</v>
      </c>
      <c r="C24" s="261"/>
      <c r="D24" s="261"/>
      <c r="E24" s="261"/>
      <c r="F24" s="261"/>
      <c r="G24" s="261"/>
      <c r="H24" s="261"/>
      <c r="I24" s="261"/>
      <c r="J24" s="261"/>
      <c r="K24" s="261"/>
      <c r="L24" s="261"/>
      <c r="M24" s="261"/>
      <c r="N24" s="261"/>
      <c r="O24" s="262"/>
      <c r="Q24" s="2"/>
    </row>
    <row r="25" spans="2:17" ht="45.6" customHeight="1" x14ac:dyDescent="0.3">
      <c r="B25" s="293" t="s">
        <v>15</v>
      </c>
      <c r="C25" s="294"/>
      <c r="D25" s="295"/>
      <c r="E25" s="296" t="s">
        <v>16</v>
      </c>
      <c r="F25" s="297"/>
      <c r="G25" s="297"/>
      <c r="H25" s="297"/>
      <c r="I25" s="297"/>
      <c r="J25" s="297"/>
      <c r="K25" s="297"/>
      <c r="L25" s="297"/>
      <c r="M25" s="297"/>
      <c r="N25" s="297"/>
      <c r="O25" s="298"/>
    </row>
    <row r="26" spans="2:17" x14ac:dyDescent="0.3">
      <c r="B26" s="251" t="s">
        <v>17</v>
      </c>
      <c r="C26" s="252"/>
      <c r="D26" s="252"/>
      <c r="E26" s="252"/>
      <c r="F26" s="252"/>
      <c r="G26" s="252"/>
      <c r="H26" s="252"/>
      <c r="I26" s="252"/>
      <c r="J26" s="252"/>
      <c r="K26" s="252"/>
      <c r="L26" s="252"/>
      <c r="M26" s="252"/>
      <c r="N26" s="252"/>
      <c r="O26" s="253"/>
    </row>
    <row r="27" spans="2:17" x14ac:dyDescent="0.3">
      <c r="B27" s="254" t="s">
        <v>5</v>
      </c>
      <c r="C27" s="255"/>
      <c r="D27" s="256"/>
      <c r="E27" s="257" t="s">
        <v>266</v>
      </c>
      <c r="F27" s="258"/>
      <c r="G27" s="258"/>
      <c r="H27" s="258"/>
      <c r="I27" s="258"/>
      <c r="J27" s="258"/>
      <c r="K27" s="258"/>
      <c r="L27" s="258"/>
      <c r="M27" s="258"/>
      <c r="N27" s="258"/>
      <c r="O27" s="259"/>
    </row>
    <row r="28" spans="2:17" x14ac:dyDescent="0.3">
      <c r="B28" s="254" t="s">
        <v>6</v>
      </c>
      <c r="C28" s="255"/>
      <c r="D28" s="256"/>
      <c r="E28" s="257" t="s">
        <v>7</v>
      </c>
      <c r="F28" s="258"/>
      <c r="G28" s="258"/>
      <c r="H28" s="258"/>
      <c r="I28" s="258"/>
      <c r="J28" s="258"/>
      <c r="K28" s="258"/>
      <c r="L28" s="258"/>
      <c r="M28" s="258"/>
      <c r="N28" s="258"/>
      <c r="O28" s="259"/>
    </row>
    <row r="29" spans="2:17" x14ac:dyDescent="0.3">
      <c r="B29" s="254" t="s">
        <v>8</v>
      </c>
      <c r="C29" s="255"/>
      <c r="D29" s="256"/>
      <c r="E29" s="257" t="s">
        <v>9</v>
      </c>
      <c r="F29" s="258"/>
      <c r="G29" s="258"/>
      <c r="H29" s="258"/>
      <c r="I29" s="258"/>
      <c r="J29" s="258"/>
      <c r="K29" s="258"/>
      <c r="L29" s="258"/>
      <c r="M29" s="258"/>
      <c r="N29" s="258"/>
      <c r="O29" s="259"/>
    </row>
    <row r="30" spans="2:17" x14ac:dyDescent="0.3">
      <c r="B30" s="254" t="s">
        <v>10</v>
      </c>
      <c r="C30" s="255"/>
      <c r="D30" s="256"/>
      <c r="E30" s="257" t="s">
        <v>11</v>
      </c>
      <c r="F30" s="258"/>
      <c r="G30" s="258"/>
      <c r="H30" s="258"/>
      <c r="I30" s="258"/>
      <c r="J30" s="258"/>
      <c r="K30" s="258"/>
      <c r="L30" s="258"/>
      <c r="M30" s="258"/>
      <c r="N30" s="258"/>
      <c r="O30" s="259"/>
    </row>
    <row r="31" spans="2:17" ht="14.4" customHeight="1" x14ac:dyDescent="0.3">
      <c r="B31" s="254" t="s">
        <v>12</v>
      </c>
      <c r="C31" s="255"/>
      <c r="D31" s="256"/>
      <c r="E31" s="269" t="s">
        <v>13</v>
      </c>
      <c r="F31" s="270"/>
      <c r="G31" s="270"/>
      <c r="H31" s="270"/>
      <c r="I31" s="270"/>
      <c r="J31" s="270"/>
      <c r="K31" s="270"/>
      <c r="L31" s="270"/>
      <c r="M31" s="270"/>
      <c r="N31" s="270"/>
      <c r="O31" s="271"/>
    </row>
    <row r="32" spans="2:17" x14ac:dyDescent="0.3">
      <c r="B32" s="254"/>
      <c r="C32" s="255"/>
      <c r="D32" s="256"/>
      <c r="E32" s="269"/>
      <c r="F32" s="270"/>
      <c r="G32" s="270"/>
      <c r="H32" s="270"/>
      <c r="I32" s="270"/>
      <c r="J32" s="270"/>
      <c r="K32" s="270"/>
      <c r="L32" s="270"/>
      <c r="M32" s="270"/>
      <c r="N32" s="270"/>
      <c r="O32" s="271"/>
    </row>
    <row r="33" spans="2:15" x14ac:dyDescent="0.3">
      <c r="B33" s="254"/>
      <c r="C33" s="255"/>
      <c r="D33" s="256"/>
      <c r="E33" s="269"/>
      <c r="F33" s="270"/>
      <c r="G33" s="270"/>
      <c r="H33" s="270"/>
      <c r="I33" s="270"/>
      <c r="J33" s="270"/>
      <c r="K33" s="270"/>
      <c r="L33" s="270"/>
      <c r="M33" s="270"/>
      <c r="N33" s="270"/>
      <c r="O33" s="271"/>
    </row>
    <row r="34" spans="2:15" x14ac:dyDescent="0.3">
      <c r="B34" s="263"/>
      <c r="C34" s="264"/>
      <c r="D34" s="264"/>
      <c r="E34" s="264"/>
      <c r="F34" s="264"/>
      <c r="G34" s="264"/>
      <c r="H34" s="264"/>
      <c r="I34" s="264"/>
      <c r="J34" s="264"/>
      <c r="K34" s="264"/>
      <c r="L34" s="264"/>
      <c r="M34" s="264"/>
      <c r="N34" s="264"/>
      <c r="O34" s="265"/>
    </row>
    <row r="35" spans="2:15" ht="23.4" x14ac:dyDescent="0.45">
      <c r="B35" s="266" t="s">
        <v>293</v>
      </c>
      <c r="C35" s="267"/>
      <c r="D35" s="267"/>
      <c r="E35" s="267"/>
      <c r="F35" s="267"/>
      <c r="G35" s="267"/>
      <c r="H35" s="267"/>
      <c r="I35" s="267"/>
      <c r="J35" s="267"/>
      <c r="K35" s="267"/>
      <c r="L35" s="267"/>
      <c r="M35" s="267"/>
      <c r="N35" s="267"/>
      <c r="O35" s="268"/>
    </row>
    <row r="36" spans="2:15" ht="15.6" x14ac:dyDescent="0.3">
      <c r="B36" s="260" t="s">
        <v>19</v>
      </c>
      <c r="C36" s="261"/>
      <c r="D36" s="261"/>
      <c r="E36" s="261"/>
      <c r="F36" s="261"/>
      <c r="G36" s="261"/>
      <c r="H36" s="261"/>
      <c r="I36" s="261"/>
      <c r="J36" s="261"/>
      <c r="K36" s="261"/>
      <c r="L36" s="261"/>
      <c r="M36" s="261"/>
      <c r="N36" s="261"/>
      <c r="O36" s="262"/>
    </row>
    <row r="37" spans="2:15" ht="14.4" customHeight="1" x14ac:dyDescent="0.3">
      <c r="B37" s="287" t="s">
        <v>20</v>
      </c>
      <c r="C37" s="288"/>
      <c r="D37" s="288"/>
      <c r="E37" s="288"/>
      <c r="F37" s="288"/>
      <c r="G37" s="288"/>
      <c r="H37" s="288"/>
      <c r="I37" s="288"/>
      <c r="J37" s="288"/>
      <c r="K37" s="288"/>
      <c r="L37" s="288"/>
      <c r="M37" s="288"/>
      <c r="N37" s="288"/>
      <c r="O37" s="289"/>
    </row>
    <row r="38" spans="2:15" x14ac:dyDescent="0.3">
      <c r="B38" s="269"/>
      <c r="C38" s="270"/>
      <c r="D38" s="270"/>
      <c r="E38" s="270"/>
      <c r="F38" s="270"/>
      <c r="G38" s="270"/>
      <c r="H38" s="270"/>
      <c r="I38" s="270"/>
      <c r="J38" s="270"/>
      <c r="K38" s="270"/>
      <c r="L38" s="270"/>
      <c r="M38" s="270"/>
      <c r="N38" s="270"/>
      <c r="O38" s="271"/>
    </row>
    <row r="39" spans="2:15" x14ac:dyDescent="0.3">
      <c r="B39" s="290"/>
      <c r="C39" s="291"/>
      <c r="D39" s="291"/>
      <c r="E39" s="291"/>
      <c r="F39" s="291"/>
      <c r="G39" s="291"/>
      <c r="H39" s="291"/>
      <c r="I39" s="291"/>
      <c r="J39" s="291"/>
      <c r="K39" s="291"/>
      <c r="L39" s="291"/>
      <c r="M39" s="291"/>
      <c r="N39" s="291"/>
      <c r="O39" s="292"/>
    </row>
    <row r="40" spans="2:15" ht="28.2" customHeight="1" x14ac:dyDescent="0.3">
      <c r="B40" s="272" t="s">
        <v>21</v>
      </c>
      <c r="C40" s="273"/>
      <c r="D40" s="274"/>
      <c r="E40" s="269" t="s">
        <v>22</v>
      </c>
      <c r="F40" s="270"/>
      <c r="G40" s="270"/>
      <c r="H40" s="270"/>
      <c r="I40" s="270"/>
      <c r="J40" s="270"/>
      <c r="K40" s="270"/>
      <c r="L40" s="270"/>
      <c r="M40" s="270"/>
      <c r="N40" s="270"/>
      <c r="O40" s="271"/>
    </row>
    <row r="41" spans="2:15" ht="14.4" customHeight="1" x14ac:dyDescent="0.3">
      <c r="B41" s="272" t="s">
        <v>23</v>
      </c>
      <c r="C41" s="273"/>
      <c r="D41" s="274"/>
      <c r="E41" s="269" t="s">
        <v>24</v>
      </c>
      <c r="F41" s="270"/>
      <c r="G41" s="270"/>
      <c r="H41" s="270"/>
      <c r="I41" s="270"/>
      <c r="J41" s="270"/>
      <c r="K41" s="270"/>
      <c r="L41" s="270"/>
      <c r="M41" s="270"/>
      <c r="N41" s="270"/>
      <c r="O41" s="271"/>
    </row>
    <row r="42" spans="2:15" ht="17.399999999999999" customHeight="1" x14ac:dyDescent="0.3">
      <c r="B42" s="272"/>
      <c r="C42" s="273"/>
      <c r="D42" s="274"/>
      <c r="E42" s="269"/>
      <c r="F42" s="270"/>
      <c r="G42" s="270"/>
      <c r="H42" s="270"/>
      <c r="I42" s="270"/>
      <c r="J42" s="270"/>
      <c r="K42" s="270"/>
      <c r="L42" s="270"/>
      <c r="M42" s="270"/>
      <c r="N42" s="270"/>
      <c r="O42" s="271"/>
    </row>
    <row r="43" spans="2:15" ht="14.4" customHeight="1" x14ac:dyDescent="0.3">
      <c r="B43" s="272" t="s">
        <v>25</v>
      </c>
      <c r="C43" s="273"/>
      <c r="D43" s="274"/>
      <c r="E43" s="269" t="s">
        <v>26</v>
      </c>
      <c r="F43" s="270"/>
      <c r="G43" s="270"/>
      <c r="H43" s="270"/>
      <c r="I43" s="270"/>
      <c r="J43" s="270"/>
      <c r="K43" s="270"/>
      <c r="L43" s="270"/>
      <c r="M43" s="270"/>
      <c r="N43" s="270"/>
      <c r="O43" s="271"/>
    </row>
    <row r="44" spans="2:15" ht="28.95" customHeight="1" x14ac:dyDescent="0.3">
      <c r="B44" s="272" t="s">
        <v>27</v>
      </c>
      <c r="C44" s="273"/>
      <c r="D44" s="274"/>
      <c r="E44" s="269" t="s">
        <v>28</v>
      </c>
      <c r="F44" s="270"/>
      <c r="G44" s="270"/>
      <c r="H44" s="270"/>
      <c r="I44" s="270"/>
      <c r="J44" s="270"/>
      <c r="K44" s="270"/>
      <c r="L44" s="270"/>
      <c r="M44" s="270"/>
      <c r="N44" s="270"/>
      <c r="O44" s="271"/>
    </row>
    <row r="45" spans="2:15" ht="28.2" customHeight="1" x14ac:dyDescent="0.3">
      <c r="B45" s="272" t="s">
        <v>29</v>
      </c>
      <c r="C45" s="273"/>
      <c r="D45" s="274"/>
      <c r="E45" s="269" t="s">
        <v>30</v>
      </c>
      <c r="F45" s="270"/>
      <c r="G45" s="270"/>
      <c r="H45" s="270"/>
      <c r="I45" s="270"/>
      <c r="J45" s="270"/>
      <c r="K45" s="270"/>
      <c r="L45" s="270"/>
      <c r="M45" s="270"/>
      <c r="N45" s="270"/>
      <c r="O45" s="271"/>
    </row>
    <row r="46" spans="2:15" ht="19.95" customHeight="1" x14ac:dyDescent="0.3">
      <c r="B46" s="101"/>
      <c r="C46" s="102"/>
      <c r="D46" s="111" t="s">
        <v>31</v>
      </c>
      <c r="E46" s="112" t="s">
        <v>32</v>
      </c>
      <c r="F46" s="103"/>
      <c r="G46" s="103"/>
      <c r="H46" s="103"/>
      <c r="I46" s="103"/>
      <c r="J46" s="103"/>
      <c r="K46" s="103"/>
      <c r="L46" s="103"/>
      <c r="M46" s="103"/>
      <c r="N46" s="103"/>
      <c r="O46" s="104"/>
    </row>
    <row r="47" spans="2:15" x14ac:dyDescent="0.3">
      <c r="B47" s="251" t="s">
        <v>33</v>
      </c>
      <c r="C47" s="252"/>
      <c r="D47" s="252"/>
      <c r="E47" s="252"/>
      <c r="F47" s="252"/>
      <c r="G47" s="252"/>
      <c r="H47" s="252"/>
      <c r="I47" s="252"/>
      <c r="J47" s="252"/>
      <c r="K47" s="252"/>
      <c r="L47" s="252"/>
      <c r="M47" s="252"/>
      <c r="N47" s="252"/>
      <c r="O47" s="253"/>
    </row>
    <row r="48" spans="2:15" ht="14.4" customHeight="1" x14ac:dyDescent="0.3">
      <c r="B48" s="254" t="s">
        <v>5</v>
      </c>
      <c r="C48" s="255"/>
      <c r="D48" s="256"/>
      <c r="E48" s="257" t="s">
        <v>266</v>
      </c>
      <c r="F48" s="258"/>
      <c r="G48" s="258"/>
      <c r="H48" s="258"/>
      <c r="I48" s="258"/>
      <c r="J48" s="258"/>
      <c r="K48" s="258"/>
      <c r="L48" s="258"/>
      <c r="M48" s="258"/>
      <c r="N48" s="258"/>
      <c r="O48" s="259"/>
    </row>
    <row r="49" spans="2:15" ht="14.4" customHeight="1" x14ac:dyDescent="0.3">
      <c r="B49" s="254" t="s">
        <v>6</v>
      </c>
      <c r="C49" s="255"/>
      <c r="D49" s="256"/>
      <c r="E49" s="269" t="s">
        <v>7</v>
      </c>
      <c r="F49" s="270"/>
      <c r="G49" s="270"/>
      <c r="H49" s="270"/>
      <c r="I49" s="270"/>
      <c r="J49" s="270"/>
      <c r="K49" s="270"/>
      <c r="L49" s="270"/>
      <c r="M49" s="270"/>
      <c r="N49" s="270"/>
      <c r="O49" s="271"/>
    </row>
    <row r="50" spans="2:15" ht="14.4" customHeight="1" x14ac:dyDescent="0.3">
      <c r="B50" s="254" t="s">
        <v>8</v>
      </c>
      <c r="C50" s="255"/>
      <c r="D50" s="256"/>
      <c r="E50" s="269" t="s">
        <v>9</v>
      </c>
      <c r="F50" s="270"/>
      <c r="G50" s="270"/>
      <c r="H50" s="270"/>
      <c r="I50" s="270"/>
      <c r="J50" s="270"/>
      <c r="K50" s="270"/>
      <c r="L50" s="270"/>
      <c r="M50" s="270"/>
      <c r="N50" s="270"/>
      <c r="O50" s="271"/>
    </row>
    <row r="51" spans="2:15" ht="14.4" customHeight="1" x14ac:dyDescent="0.3">
      <c r="B51" s="254" t="s">
        <v>10</v>
      </c>
      <c r="C51" s="255"/>
      <c r="D51" s="256"/>
      <c r="E51" s="269" t="s">
        <v>18</v>
      </c>
      <c r="F51" s="270"/>
      <c r="G51" s="270"/>
      <c r="H51" s="270"/>
      <c r="I51" s="270"/>
      <c r="J51" s="270"/>
      <c r="K51" s="270"/>
      <c r="L51" s="270"/>
      <c r="M51" s="270"/>
      <c r="N51" s="270"/>
      <c r="O51" s="271"/>
    </row>
    <row r="52" spans="2:15" ht="14.4" customHeight="1" x14ac:dyDescent="0.3">
      <c r="B52" s="254" t="s">
        <v>12</v>
      </c>
      <c r="C52" s="255"/>
      <c r="D52" s="256"/>
      <c r="E52" s="269" t="s">
        <v>34</v>
      </c>
      <c r="F52" s="270"/>
      <c r="G52" s="270"/>
      <c r="H52" s="270"/>
      <c r="I52" s="270"/>
      <c r="J52" s="270"/>
      <c r="K52" s="270"/>
      <c r="L52" s="270"/>
      <c r="M52" s="270"/>
      <c r="N52" s="270"/>
      <c r="O52" s="271"/>
    </row>
    <row r="53" spans="2:15" x14ac:dyDescent="0.3">
      <c r="B53" s="254"/>
      <c r="C53" s="255"/>
      <c r="D53" s="256"/>
      <c r="E53" s="269"/>
      <c r="F53" s="270"/>
      <c r="G53" s="270"/>
      <c r="H53" s="270"/>
      <c r="I53" s="270"/>
      <c r="J53" s="270"/>
      <c r="K53" s="270"/>
      <c r="L53" s="270"/>
      <c r="M53" s="270"/>
      <c r="N53" s="270"/>
      <c r="O53" s="271"/>
    </row>
    <row r="54" spans="2:15" x14ac:dyDescent="0.3">
      <c r="B54" s="254"/>
      <c r="C54" s="255"/>
      <c r="D54" s="256"/>
      <c r="E54" s="269"/>
      <c r="F54" s="270"/>
      <c r="G54" s="270"/>
      <c r="H54" s="270"/>
      <c r="I54" s="270"/>
      <c r="J54" s="270"/>
      <c r="K54" s="270"/>
      <c r="L54" s="270"/>
      <c r="M54" s="270"/>
      <c r="N54" s="270"/>
      <c r="O54" s="271"/>
    </row>
    <row r="55" spans="2:15" x14ac:dyDescent="0.3">
      <c r="B55" s="251" t="s">
        <v>35</v>
      </c>
      <c r="C55" s="252"/>
      <c r="D55" s="252"/>
      <c r="E55" s="252"/>
      <c r="F55" s="252"/>
      <c r="G55" s="252"/>
      <c r="H55" s="252"/>
      <c r="I55" s="252"/>
      <c r="J55" s="252"/>
      <c r="K55" s="252"/>
      <c r="L55" s="252"/>
      <c r="M55" s="252"/>
      <c r="N55" s="252"/>
      <c r="O55" s="253"/>
    </row>
    <row r="56" spans="2:15" ht="32.4" customHeight="1" x14ac:dyDescent="0.3">
      <c r="B56" s="254" t="s">
        <v>36</v>
      </c>
      <c r="C56" s="255"/>
      <c r="D56" s="256"/>
      <c r="E56" s="269" t="s">
        <v>269</v>
      </c>
      <c r="F56" s="270"/>
      <c r="G56" s="270"/>
      <c r="H56" s="270"/>
      <c r="I56" s="270"/>
      <c r="J56" s="270"/>
      <c r="K56" s="270"/>
      <c r="L56" s="270"/>
      <c r="M56" s="270"/>
      <c r="N56" s="270"/>
      <c r="O56" s="271"/>
    </row>
    <row r="57" spans="2:15" ht="28.2" customHeight="1" x14ac:dyDescent="0.3">
      <c r="B57" s="109"/>
      <c r="C57" s="110"/>
      <c r="D57" s="111" t="s">
        <v>37</v>
      </c>
      <c r="E57" s="269" t="s">
        <v>38</v>
      </c>
      <c r="F57" s="270"/>
      <c r="G57" s="270"/>
      <c r="H57" s="270"/>
      <c r="I57" s="270"/>
      <c r="J57" s="270"/>
      <c r="K57" s="270"/>
      <c r="L57" s="270"/>
      <c r="M57" s="270"/>
      <c r="N57" s="270"/>
      <c r="O57" s="271"/>
    </row>
    <row r="58" spans="2:15" x14ac:dyDescent="0.3">
      <c r="B58" s="263"/>
      <c r="C58" s="264"/>
      <c r="D58" s="264"/>
      <c r="E58" s="264"/>
      <c r="F58" s="264"/>
      <c r="G58" s="264"/>
      <c r="H58" s="264"/>
      <c r="I58" s="264"/>
      <c r="J58" s="264"/>
      <c r="K58" s="264"/>
      <c r="L58" s="264"/>
      <c r="M58" s="264"/>
      <c r="N58" s="264"/>
      <c r="O58" s="265"/>
    </row>
    <row r="59" spans="2:15" ht="23.4" x14ac:dyDescent="0.45">
      <c r="B59" s="266" t="s">
        <v>294</v>
      </c>
      <c r="C59" s="267"/>
      <c r="D59" s="267"/>
      <c r="E59" s="267"/>
      <c r="F59" s="267"/>
      <c r="G59" s="267"/>
      <c r="H59" s="267"/>
      <c r="I59" s="267"/>
      <c r="J59" s="267"/>
      <c r="K59" s="267"/>
      <c r="L59" s="267"/>
      <c r="M59" s="267"/>
      <c r="N59" s="267"/>
      <c r="O59" s="268"/>
    </row>
    <row r="60" spans="2:15" ht="15.6" x14ac:dyDescent="0.3">
      <c r="B60" s="260" t="s">
        <v>39</v>
      </c>
      <c r="C60" s="261"/>
      <c r="D60" s="261"/>
      <c r="E60" s="261"/>
      <c r="F60" s="261"/>
      <c r="G60" s="261"/>
      <c r="H60" s="261"/>
      <c r="I60" s="261"/>
      <c r="J60" s="261"/>
      <c r="K60" s="261"/>
      <c r="L60" s="261"/>
      <c r="M60" s="261"/>
      <c r="N60" s="261"/>
      <c r="O60" s="262"/>
    </row>
    <row r="61" spans="2:15" x14ac:dyDescent="0.3">
      <c r="B61" s="251" t="s">
        <v>40</v>
      </c>
      <c r="C61" s="252"/>
      <c r="D61" s="252"/>
      <c r="E61" s="252"/>
      <c r="F61" s="252"/>
      <c r="G61" s="252"/>
      <c r="H61" s="252"/>
      <c r="I61" s="252"/>
      <c r="J61" s="252"/>
      <c r="K61" s="252"/>
      <c r="L61" s="252"/>
      <c r="M61" s="252"/>
      <c r="N61" s="252"/>
      <c r="O61" s="253"/>
    </row>
    <row r="62" spans="2:15" x14ac:dyDescent="0.3">
      <c r="B62" s="254" t="s">
        <v>41</v>
      </c>
      <c r="C62" s="255"/>
      <c r="D62" s="256"/>
      <c r="E62" s="257" t="s">
        <v>42</v>
      </c>
      <c r="F62" s="258"/>
      <c r="G62" s="258"/>
      <c r="H62" s="258"/>
      <c r="I62" s="258"/>
      <c r="J62" s="258"/>
      <c r="K62" s="258"/>
      <c r="L62" s="258"/>
      <c r="M62" s="258"/>
      <c r="N62" s="258"/>
      <c r="O62" s="259"/>
    </row>
    <row r="63" spans="2:15" x14ac:dyDescent="0.3">
      <c r="B63" s="254" t="s">
        <v>43</v>
      </c>
      <c r="C63" s="255"/>
      <c r="D63" s="256"/>
      <c r="E63" s="257" t="s">
        <v>44</v>
      </c>
      <c r="F63" s="258"/>
      <c r="G63" s="258"/>
      <c r="H63" s="258"/>
      <c r="I63" s="258"/>
      <c r="J63" s="258"/>
      <c r="K63" s="258"/>
      <c r="L63" s="258"/>
      <c r="M63" s="258"/>
      <c r="N63" s="258"/>
      <c r="O63" s="259"/>
    </row>
    <row r="64" spans="2:15" x14ac:dyDescent="0.3">
      <c r="B64" s="254" t="s">
        <v>45</v>
      </c>
      <c r="C64" s="255"/>
      <c r="D64" s="256"/>
      <c r="E64" s="257" t="s">
        <v>46</v>
      </c>
      <c r="F64" s="258"/>
      <c r="G64" s="258"/>
      <c r="H64" s="258"/>
      <c r="I64" s="258"/>
      <c r="J64" s="258"/>
      <c r="K64" s="258"/>
      <c r="L64" s="258"/>
      <c r="M64" s="258"/>
      <c r="N64" s="258"/>
      <c r="O64" s="259"/>
    </row>
    <row r="65" spans="2:15" x14ac:dyDescent="0.3">
      <c r="B65" s="254" t="s">
        <v>47</v>
      </c>
      <c r="C65" s="255"/>
      <c r="D65" s="256"/>
      <c r="E65" s="257" t="s">
        <v>46</v>
      </c>
      <c r="F65" s="258"/>
      <c r="G65" s="258"/>
      <c r="H65" s="258"/>
      <c r="I65" s="258"/>
      <c r="J65" s="258"/>
      <c r="K65" s="258"/>
      <c r="L65" s="258"/>
      <c r="M65" s="258"/>
      <c r="N65" s="258"/>
      <c r="O65" s="259"/>
    </row>
    <row r="66" spans="2:15" x14ac:dyDescent="0.3">
      <c r="B66" s="263"/>
      <c r="C66" s="264"/>
      <c r="D66" s="264"/>
      <c r="E66" s="264"/>
      <c r="F66" s="264"/>
      <c r="G66" s="264"/>
      <c r="H66" s="264"/>
      <c r="I66" s="264"/>
      <c r="J66" s="264"/>
      <c r="K66" s="264"/>
      <c r="L66" s="264"/>
      <c r="M66" s="264"/>
      <c r="N66" s="264"/>
      <c r="O66" s="265"/>
    </row>
  </sheetData>
  <sheetProtection algorithmName="SHA-512" hashValue="T++WUZY9pZwzsAH03WgdftB0n7jWehyGnyqYKhgN7tgd5hsF8oB5wzU+R84qz/zi2cf80/7w57QisLNJMgXC5w==" saltValue="iOjI2dDosJfXj7t/X02vpw==" spinCount="100000" sheet="1" objects="1" scenarios="1"/>
  <mergeCells count="73">
    <mergeCell ref="R5:R11"/>
    <mergeCell ref="Q5:Q11"/>
    <mergeCell ref="B2:O5"/>
    <mergeCell ref="B6:O8"/>
    <mergeCell ref="B18:O18"/>
    <mergeCell ref="B26:O26"/>
    <mergeCell ref="B25:D25"/>
    <mergeCell ref="E25:O25"/>
    <mergeCell ref="B10:O10"/>
    <mergeCell ref="B19:O19"/>
    <mergeCell ref="B24:O24"/>
    <mergeCell ref="B66:O66"/>
    <mergeCell ref="B9:O9"/>
    <mergeCell ref="E29:O29"/>
    <mergeCell ref="B29:D29"/>
    <mergeCell ref="B12:O12"/>
    <mergeCell ref="B13:O13"/>
    <mergeCell ref="B27:D27"/>
    <mergeCell ref="B20:D21"/>
    <mergeCell ref="E20:O21"/>
    <mergeCell ref="B22:D23"/>
    <mergeCell ref="E22:O23"/>
    <mergeCell ref="B16:O16"/>
    <mergeCell ref="B14:O14"/>
    <mergeCell ref="B15:O15"/>
    <mergeCell ref="B36:O36"/>
    <mergeCell ref="B37:O39"/>
    <mergeCell ref="B64:D64"/>
    <mergeCell ref="E64:O64"/>
    <mergeCell ref="B65:D65"/>
    <mergeCell ref="E65:O65"/>
    <mergeCell ref="B30:D30"/>
    <mergeCell ref="E62:O62"/>
    <mergeCell ref="B34:O34"/>
    <mergeCell ref="B31:D33"/>
    <mergeCell ref="E30:O30"/>
    <mergeCell ref="E31:O33"/>
    <mergeCell ref="B50:D50"/>
    <mergeCell ref="B51:D51"/>
    <mergeCell ref="B52:D54"/>
    <mergeCell ref="E51:O51"/>
    <mergeCell ref="E52:O54"/>
    <mergeCell ref="E43:O43"/>
    <mergeCell ref="B48:D48"/>
    <mergeCell ref="B55:O55"/>
    <mergeCell ref="E56:O56"/>
    <mergeCell ref="B56:D56"/>
    <mergeCell ref="E48:O48"/>
    <mergeCell ref="E49:O49"/>
    <mergeCell ref="B47:O47"/>
    <mergeCell ref="B28:D28"/>
    <mergeCell ref="E28:O28"/>
    <mergeCell ref="B35:O35"/>
    <mergeCell ref="E27:O27"/>
    <mergeCell ref="B45:D45"/>
    <mergeCell ref="E40:O40"/>
    <mergeCell ref="E41:O42"/>
    <mergeCell ref="E45:O45"/>
    <mergeCell ref="E44:O44"/>
    <mergeCell ref="B40:D40"/>
    <mergeCell ref="B41:D42"/>
    <mergeCell ref="B43:D43"/>
    <mergeCell ref="B44:D44"/>
    <mergeCell ref="B61:O61"/>
    <mergeCell ref="B62:D62"/>
    <mergeCell ref="B49:D49"/>
    <mergeCell ref="B63:D63"/>
    <mergeCell ref="E63:O63"/>
    <mergeCell ref="B60:O60"/>
    <mergeCell ref="B58:O58"/>
    <mergeCell ref="B59:O59"/>
    <mergeCell ref="E50:O50"/>
    <mergeCell ref="E57:O57"/>
  </mergeCells>
  <hyperlinks>
    <hyperlink ref="E20:O21" r:id="rId1" display="Only provide a value in this column if the project is partially an AWDZ project. " xr:uid="{6B85A6C9-22B5-4166-9267-026F7AA9277C}"/>
    <hyperlink ref="E22:O23" r:id="rId2" display="Select the location of the site." xr:uid="{E0A6AB13-38BF-4D3F-AE9D-E1D85E031802}"/>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8AC66B-E8B0-4257-B6BB-BD641F5F7122}">
  <sheetPr>
    <tabColor theme="0"/>
  </sheetPr>
  <dimension ref="A1"/>
  <sheetViews>
    <sheetView workbookViewId="0">
      <selection activeCell="G13" sqref="G13"/>
    </sheetView>
  </sheetViews>
  <sheetFormatPr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EDAC0-FE17-47FD-A1C3-DAA34EFFDBC0}">
  <sheetPr codeName="Sheet10">
    <tabColor theme="8" tint="0.39997558519241921"/>
  </sheetPr>
  <dimension ref="B1:K33"/>
  <sheetViews>
    <sheetView tabSelected="1" zoomScaleNormal="100" workbookViewId="0"/>
  </sheetViews>
  <sheetFormatPr defaultColWidth="8.88671875" defaultRowHeight="14.4" x14ac:dyDescent="0.3"/>
  <cols>
    <col min="1" max="1" width="3.88671875" style="23" customWidth="1"/>
    <col min="2" max="2" width="16.33203125" style="23" customWidth="1"/>
    <col min="3" max="5" width="16.6640625" style="23" customWidth="1"/>
    <col min="6" max="6" width="18.44140625" style="23" customWidth="1"/>
    <col min="7" max="7" width="17" style="23" customWidth="1"/>
    <col min="8" max="8" width="18.88671875" style="23" bestFit="1" customWidth="1"/>
    <col min="9" max="9" width="21.33203125" style="23" customWidth="1"/>
    <col min="10" max="10" width="19.6640625" style="23" customWidth="1"/>
    <col min="11" max="11" width="19.5546875" style="23" customWidth="1"/>
    <col min="12" max="12" width="17.77734375" style="23" customWidth="1"/>
    <col min="13" max="16384" width="8.88671875" style="23"/>
  </cols>
  <sheetData>
    <row r="1" spans="2:11" ht="15" thickBot="1" x14ac:dyDescent="0.35">
      <c r="E1" s="193"/>
      <c r="H1" s="193"/>
    </row>
    <row r="2" spans="2:11" ht="14.4" customHeight="1" x14ac:dyDescent="0.3">
      <c r="B2" s="310" t="s">
        <v>48</v>
      </c>
      <c r="C2" s="311"/>
      <c r="D2" s="194" t="s">
        <v>49</v>
      </c>
      <c r="E2" s="194" t="s">
        <v>50</v>
      </c>
      <c r="F2" s="194" t="s">
        <v>51</v>
      </c>
      <c r="G2" s="194" t="s">
        <v>52</v>
      </c>
      <c r="H2" s="194" t="s">
        <v>53</v>
      </c>
      <c r="I2" s="195" t="s">
        <v>54</v>
      </c>
    </row>
    <row r="3" spans="2:11" x14ac:dyDescent="0.3">
      <c r="B3" s="312"/>
      <c r="C3" s="313"/>
      <c r="D3" s="196" t="s">
        <v>55</v>
      </c>
      <c r="E3" s="196" t="s">
        <v>55</v>
      </c>
      <c r="F3" s="196" t="s">
        <v>55</v>
      </c>
      <c r="G3" s="196" t="s">
        <v>55</v>
      </c>
      <c r="H3" s="196" t="s">
        <v>55</v>
      </c>
      <c r="I3" s="197" t="s">
        <v>55</v>
      </c>
    </row>
    <row r="4" spans="2:11" ht="15" thickBot="1" x14ac:dyDescent="0.35">
      <c r="B4" s="314"/>
      <c r="C4" s="315"/>
      <c r="D4" s="198">
        <f>'Site Data'!B26</f>
        <v>0</v>
      </c>
      <c r="E4" s="198">
        <f>'Site Data'!N26</f>
        <v>633.33333333333326</v>
      </c>
      <c r="F4" s="198">
        <f>SUM(D4:E4)</f>
        <v>633.33333333333326</v>
      </c>
      <c r="G4" s="198" t="str">
        <f>IF('Site Data'!D26="NA",0,'Site Data'!D26)</f>
        <v>N/A</v>
      </c>
      <c r="H4" s="198" t="str">
        <f>IF('Site Data'!H26="N/A",0,'Site Data'!P26)</f>
        <v>N/A</v>
      </c>
      <c r="I4" s="199">
        <f>SUM(G4:H4)</f>
        <v>0</v>
      </c>
    </row>
    <row r="5" spans="2:11" x14ac:dyDescent="0.3">
      <c r="E5" s="200"/>
      <c r="H5" s="200"/>
    </row>
    <row r="6" spans="2:11" ht="18" customHeight="1" thickBot="1" x14ac:dyDescent="0.35"/>
    <row r="7" spans="2:11" s="202" customFormat="1" ht="43.2" x14ac:dyDescent="0.3">
      <c r="B7" s="310" t="s">
        <v>56</v>
      </c>
      <c r="C7" s="311"/>
      <c r="D7" s="194" t="s">
        <v>57</v>
      </c>
      <c r="E7" s="194" t="s">
        <v>58</v>
      </c>
      <c r="F7" s="194" t="s">
        <v>59</v>
      </c>
      <c r="G7" s="194" t="s">
        <v>60</v>
      </c>
      <c r="H7" s="194" t="s">
        <v>307</v>
      </c>
      <c r="I7" s="194" t="s">
        <v>308</v>
      </c>
      <c r="J7" s="194" t="s">
        <v>61</v>
      </c>
      <c r="K7" s="201" t="s">
        <v>62</v>
      </c>
    </row>
    <row r="8" spans="2:11" ht="14.4" customHeight="1" x14ac:dyDescent="0.3">
      <c r="B8" s="312"/>
      <c r="C8" s="313"/>
      <c r="D8" s="196" t="s">
        <v>55</v>
      </c>
      <c r="E8" s="196" t="s">
        <v>55</v>
      </c>
      <c r="F8" s="196" t="s">
        <v>55</v>
      </c>
      <c r="G8" s="196" t="s">
        <v>55</v>
      </c>
      <c r="H8" s="196" t="s">
        <v>55</v>
      </c>
      <c r="I8" s="196" t="s">
        <v>55</v>
      </c>
      <c r="J8" s="196" t="s">
        <v>63</v>
      </c>
      <c r="K8" s="203" t="s">
        <v>63</v>
      </c>
    </row>
    <row r="9" spans="2:11" ht="15" customHeight="1" thickBot="1" x14ac:dyDescent="0.35">
      <c r="B9" s="314"/>
      <c r="C9" s="315"/>
      <c r="D9" s="198">
        <f>SUM(D15:D31)</f>
        <v>0</v>
      </c>
      <c r="E9" s="198">
        <f>SUM(E15:E31)</f>
        <v>0</v>
      </c>
      <c r="F9" s="198">
        <f>SUM(D15:E31)</f>
        <v>0</v>
      </c>
      <c r="G9" s="198">
        <f>SUM(F15:F31)</f>
        <v>0</v>
      </c>
      <c r="H9" s="198">
        <f>SUM(G15:G31)+SUM(E15:E31)</f>
        <v>0</v>
      </c>
      <c r="I9" s="198">
        <f>SUM(D15:G31)</f>
        <v>0</v>
      </c>
      <c r="J9" s="204" t="str">
        <f>IF('1. Site Drainage Areas'!$D$8="","",('1. Site Drainage Areas'!$BH$8))</f>
        <v>N/A</v>
      </c>
      <c r="K9" s="205">
        <f>IF(E9&gt;E4,0,(E4-E9)*7.48)</f>
        <v>4737.333333333333</v>
      </c>
    </row>
    <row r="10" spans="2:11" ht="15.6" customHeight="1" thickBot="1" x14ac:dyDescent="0.35">
      <c r="B10" s="316" t="s">
        <v>64</v>
      </c>
      <c r="C10" s="317"/>
      <c r="D10" s="206" t="str">
        <f>IF(D9=0,"NA",D9/D4)</f>
        <v>NA</v>
      </c>
      <c r="E10" s="207">
        <f>IFERROR(E9/E4,0)</f>
        <v>0</v>
      </c>
      <c r="F10" s="207">
        <f>IFERROR(F9/F4,0)</f>
        <v>0</v>
      </c>
      <c r="G10" s="207" t="str">
        <f>IFERROR(IF(G4="N/A","N/A",G9/G4),"N/A")</f>
        <v>N/A</v>
      </c>
      <c r="H10" s="207" t="str">
        <f>IF(H4="N/A","N/A",H9/(H4+E4))</f>
        <v>N/A</v>
      </c>
      <c r="I10" s="232" t="str">
        <f>IF(I4=0,"N/A",I9/(F4+I4))</f>
        <v>N/A</v>
      </c>
      <c r="J10" s="208"/>
    </row>
    <row r="11" spans="2:11" x14ac:dyDescent="0.3">
      <c r="C11" s="208"/>
      <c r="D11" s="208"/>
      <c r="E11" s="208"/>
      <c r="F11" s="208"/>
      <c r="G11" s="208"/>
      <c r="H11" s="208"/>
      <c r="I11" s="208"/>
      <c r="J11" s="208"/>
    </row>
    <row r="12" spans="2:11" ht="15" thickBot="1" x14ac:dyDescent="0.35">
      <c r="F12" s="209"/>
      <c r="G12" s="193"/>
      <c r="H12" s="200"/>
    </row>
    <row r="13" spans="2:11" ht="43.2" x14ac:dyDescent="0.3">
      <c r="B13" s="318" t="s">
        <v>65</v>
      </c>
      <c r="C13" s="210" t="s">
        <v>66</v>
      </c>
      <c r="D13" s="211" t="s">
        <v>67</v>
      </c>
      <c r="E13" s="211" t="s">
        <v>68</v>
      </c>
      <c r="F13" s="194" t="s">
        <v>69</v>
      </c>
      <c r="G13" s="238" t="s">
        <v>70</v>
      </c>
      <c r="H13" s="239" t="s">
        <v>312</v>
      </c>
      <c r="J13" s="320" t="s">
        <v>270</v>
      </c>
      <c r="K13" s="321"/>
    </row>
    <row r="14" spans="2:11" ht="15" customHeight="1" thickBot="1" x14ac:dyDescent="0.35">
      <c r="B14" s="319"/>
      <c r="C14" s="212" t="s">
        <v>71</v>
      </c>
      <c r="D14" s="213" t="s">
        <v>55</v>
      </c>
      <c r="E14" s="213" t="s">
        <v>55</v>
      </c>
      <c r="F14" s="233" t="s">
        <v>55</v>
      </c>
      <c r="G14" s="214" t="s">
        <v>55</v>
      </c>
      <c r="H14" s="214" t="s">
        <v>71</v>
      </c>
      <c r="J14" s="322" t="s">
        <v>271</v>
      </c>
      <c r="K14" s="323"/>
    </row>
    <row r="15" spans="2:11" x14ac:dyDescent="0.3">
      <c r="B15" s="215">
        <f>IF('1. Site Drainage Areas'!D9="","",('1. Site Drainage Areas'!D9))</f>
        <v>1</v>
      </c>
      <c r="C15" s="241" t="str">
        <f>IF('1. Site Drainage Areas'!D9="","",('1. Site Drainage Areas'!E9))</f>
        <v>No</v>
      </c>
      <c r="D15" s="242">
        <f>IF('1. Site Drainage Areas'!D9="","",(IF($C15="Yes",'1. Site Drainage Areas'!$AS9,0)))</f>
        <v>0</v>
      </c>
      <c r="E15" s="242">
        <f>IF('1. Site Drainage Areas'!D9="","",(IF($C15="No",'1. Site Drainage Areas'!$AS9,0)))</f>
        <v>0</v>
      </c>
      <c r="F15" s="243">
        <f>IF('1. Site Drainage Areas'!D9="","",(IF($C15="Yes",'1. Site Drainage Areas'!$AT9,0)))</f>
        <v>0</v>
      </c>
      <c r="G15" s="244">
        <f>IF('1. Site Drainage Areas'!D9="","",(IF($C15="No",'1. Site Drainage Areas'!$AT9,0)))</f>
        <v>0</v>
      </c>
      <c r="H15" s="246" t="str">
        <f>IF('1. Site Drainage Areas'!D9="","",'1. Site Drainage Areas'!BD9)</f>
        <v>Yes</v>
      </c>
      <c r="J15" s="326">
        <f>'3. Detention'!G7</f>
        <v>70</v>
      </c>
      <c r="K15" s="327"/>
    </row>
    <row r="16" spans="2:11" ht="14.4" customHeight="1" x14ac:dyDescent="0.3">
      <c r="B16" s="215" t="str">
        <f>IF('1. Site Drainage Areas'!D10="","",('1. Site Drainage Areas'!D10))</f>
        <v/>
      </c>
      <c r="C16" s="236" t="str">
        <f>IF('1. Site Drainage Areas'!D10="","",('1. Site Drainage Areas'!E10))</f>
        <v/>
      </c>
      <c r="D16" s="216" t="str">
        <f>IF('1. Site Drainage Areas'!D10="","",(IF($C16="Yes",'1. Site Drainage Areas'!$AS10,0)))</f>
        <v/>
      </c>
      <c r="E16" s="216" t="str">
        <f>IF('1. Site Drainage Areas'!D10="","",(IF($C16="No",'1. Site Drainage Areas'!$AS10,0)))</f>
        <v/>
      </c>
      <c r="F16" s="234" t="str">
        <f>IF('1. Site Drainage Areas'!D10="","",(IF($C16="Yes",'1. Site Drainage Areas'!$AT10,0)))</f>
        <v/>
      </c>
      <c r="G16" s="240" t="str">
        <f>IF('1. Site Drainage Areas'!D10="","",(IF($C16="No",'1. Site Drainage Areas'!$AT10,0)))</f>
        <v/>
      </c>
      <c r="H16" s="247" t="str">
        <f>IF('1. Site Drainage Areas'!D10="","",'1. Site Drainage Areas'!BD10)</f>
        <v/>
      </c>
      <c r="J16" s="322" t="s">
        <v>272</v>
      </c>
      <c r="K16" s="323"/>
    </row>
    <row r="17" spans="2:11" x14ac:dyDescent="0.3">
      <c r="B17" s="215" t="str">
        <f>IF('1. Site Drainage Areas'!D11="","",('1. Site Drainage Areas'!D11))</f>
        <v/>
      </c>
      <c r="C17" s="236" t="str">
        <f>IF('1. Site Drainage Areas'!D11="","",('1. Site Drainage Areas'!E11))</f>
        <v/>
      </c>
      <c r="D17" s="216" t="str">
        <f>IF('1. Site Drainage Areas'!D11="","",(IF($C17="Yes",'1. Site Drainage Areas'!$AS11,0)))</f>
        <v/>
      </c>
      <c r="E17" s="216" t="str">
        <f>IF('1. Site Drainage Areas'!D11="","",(IF($C17="No",'1. Site Drainage Areas'!$AS11,0)))</f>
        <v/>
      </c>
      <c r="F17" s="234" t="str">
        <f>IF('1. Site Drainage Areas'!D11="","",(IF($C17="Yes",'1. Site Drainage Areas'!$AT11,0)))</f>
        <v/>
      </c>
      <c r="G17" s="240" t="str">
        <f>IF('1. Site Drainage Areas'!D11="","",(IF($C17="No",'1. Site Drainage Areas'!$AT11,0)))</f>
        <v/>
      </c>
      <c r="H17" s="247" t="str">
        <f>IF('1. Site Drainage Areas'!D11="","",'1. Site Drainage Areas'!BD11)</f>
        <v/>
      </c>
      <c r="J17" s="326">
        <f>'3. Detention'!AC7</f>
        <v>0</v>
      </c>
      <c r="K17" s="327"/>
    </row>
    <row r="18" spans="2:11" ht="14.4" customHeight="1" x14ac:dyDescent="0.3">
      <c r="B18" s="215" t="str">
        <f>IF('1. Site Drainage Areas'!D12="","",('1. Site Drainage Areas'!D12))</f>
        <v/>
      </c>
      <c r="C18" s="236" t="str">
        <f>IF('1. Site Drainage Areas'!D12="","",('1. Site Drainage Areas'!E12))</f>
        <v/>
      </c>
      <c r="D18" s="216" t="str">
        <f>IF('1. Site Drainage Areas'!D12="","",(IF($C18="Yes",'1. Site Drainage Areas'!$AS12,0)))</f>
        <v/>
      </c>
      <c r="E18" s="216" t="str">
        <f>IF('1. Site Drainage Areas'!D12="","",(IF($C18="No",'1. Site Drainage Areas'!$AS12,0)))</f>
        <v/>
      </c>
      <c r="F18" s="234" t="str">
        <f>IF('1. Site Drainage Areas'!D12="","",(IF($C18="Yes",'1. Site Drainage Areas'!$AT12,0)))</f>
        <v/>
      </c>
      <c r="G18" s="240" t="str">
        <f>IF('1. Site Drainage Areas'!D12="","",(IF($C18="No",'1. Site Drainage Areas'!$AT12,0)))</f>
        <v/>
      </c>
      <c r="H18" s="247" t="str">
        <f>IF('1. Site Drainage Areas'!D12="","",'1. Site Drainage Areas'!BD12)</f>
        <v/>
      </c>
      <c r="J18" s="322" t="s">
        <v>264</v>
      </c>
      <c r="K18" s="323"/>
    </row>
    <row r="19" spans="2:11" x14ac:dyDescent="0.3">
      <c r="B19" s="215" t="str">
        <f>IF('1. Site Drainage Areas'!D13="","",('1. Site Drainage Areas'!D13))</f>
        <v/>
      </c>
      <c r="C19" s="236" t="str">
        <f>IF('1. Site Drainage Areas'!D13="","",('1. Site Drainage Areas'!E13))</f>
        <v/>
      </c>
      <c r="D19" s="216" t="str">
        <f>IF('1. Site Drainage Areas'!D13="","",(IF($C19="Yes",'1. Site Drainage Areas'!$AS13,0)))</f>
        <v/>
      </c>
      <c r="E19" s="216" t="str">
        <f>IF('1. Site Drainage Areas'!D13="","",(IF($C19="No",'1. Site Drainage Areas'!$AS13,0)))</f>
        <v/>
      </c>
      <c r="F19" s="234" t="str">
        <f>IF('1. Site Drainage Areas'!D13="","",(IF($C19="Yes",'1. Site Drainage Areas'!$AT13,0)))</f>
        <v/>
      </c>
      <c r="G19" s="240" t="str">
        <f>IF('1. Site Drainage Areas'!D13="","",(IF($C19="No",'1. Site Drainage Areas'!$AT13,0)))</f>
        <v/>
      </c>
      <c r="H19" s="247" t="str">
        <f>IF('1. Site Drainage Areas'!D13="","",'1. Site Drainage Areas'!BD13)</f>
        <v/>
      </c>
      <c r="J19" s="326" t="str">
        <f>'3. Detention'!AD7</f>
        <v>No</v>
      </c>
      <c r="K19" s="327"/>
    </row>
    <row r="20" spans="2:11" x14ac:dyDescent="0.3">
      <c r="B20" s="215" t="str">
        <f>IF('1. Site Drainage Areas'!D14="","",('1. Site Drainage Areas'!D14))</f>
        <v/>
      </c>
      <c r="C20" s="236" t="str">
        <f>IF('1. Site Drainage Areas'!D14="","",('1. Site Drainage Areas'!E14))</f>
        <v/>
      </c>
      <c r="D20" s="216" t="str">
        <f>IF('1. Site Drainage Areas'!D14="","",(IF($C20="Yes",'1. Site Drainage Areas'!$AS14,0)))</f>
        <v/>
      </c>
      <c r="E20" s="216" t="str">
        <f>IF('1. Site Drainage Areas'!D14="","",(IF($C20="No",'1. Site Drainage Areas'!$AS14,0)))</f>
        <v/>
      </c>
      <c r="F20" s="234" t="str">
        <f>IF('1. Site Drainage Areas'!D14="","",(IF($C20="Yes",'1. Site Drainage Areas'!$AT14,0)))</f>
        <v/>
      </c>
      <c r="G20" s="240" t="str">
        <f>IF('1. Site Drainage Areas'!D14="","",(IF($C20="No",'1. Site Drainage Areas'!$AT14,0)))</f>
        <v/>
      </c>
      <c r="H20" s="247" t="str">
        <f>IF('1. Site Drainage Areas'!D14="","",'1. Site Drainage Areas'!BD14)</f>
        <v/>
      </c>
      <c r="J20" s="217"/>
      <c r="K20" s="218"/>
    </row>
    <row r="21" spans="2:11" ht="14.4" customHeight="1" x14ac:dyDescent="0.3">
      <c r="B21" s="215" t="str">
        <f>IF('1. Site Drainage Areas'!D15="","",('1. Site Drainage Areas'!D15))</f>
        <v/>
      </c>
      <c r="C21" s="236" t="str">
        <f>IF('1. Site Drainage Areas'!D15="","",('1. Site Drainage Areas'!E15))</f>
        <v/>
      </c>
      <c r="D21" s="216" t="str">
        <f>IF('1. Site Drainage Areas'!D15="","",(IF($C21="Yes",'1. Site Drainage Areas'!$AS15,0)))</f>
        <v/>
      </c>
      <c r="E21" s="216" t="str">
        <f>IF('1. Site Drainage Areas'!D15="","",(IF($C21="No",'1. Site Drainage Areas'!$AS15,0)))</f>
        <v/>
      </c>
      <c r="F21" s="234" t="str">
        <f>IF('1. Site Drainage Areas'!D15="","",(IF($C21="Yes",'1. Site Drainage Areas'!$AT15,0)))</f>
        <v/>
      </c>
      <c r="G21" s="240" t="str">
        <f>IF('1. Site Drainage Areas'!D15="","",(IF($C21="No",'1. Site Drainage Areas'!$AT15,0)))</f>
        <v/>
      </c>
      <c r="H21" s="247" t="str">
        <f>IF('1. Site Drainage Areas'!D15="","",'1. Site Drainage Areas'!BD15)</f>
        <v/>
      </c>
      <c r="J21" s="322" t="s">
        <v>273</v>
      </c>
      <c r="K21" s="323"/>
    </row>
    <row r="22" spans="2:11" x14ac:dyDescent="0.3">
      <c r="B22" s="215" t="str">
        <f>IF('1. Site Drainage Areas'!D16="","",('1. Site Drainage Areas'!D16))</f>
        <v/>
      </c>
      <c r="C22" s="236" t="str">
        <f>IF('1. Site Drainage Areas'!D16="","",('1. Site Drainage Areas'!E16))</f>
        <v/>
      </c>
      <c r="D22" s="216" t="str">
        <f>IF('1. Site Drainage Areas'!D16="","",(IF($C22="Yes",'1. Site Drainage Areas'!$AS16,0)))</f>
        <v/>
      </c>
      <c r="E22" s="216" t="str">
        <f>IF('1. Site Drainage Areas'!D16="","",(IF($C22="No",'1. Site Drainage Areas'!$AS16,0)))</f>
        <v/>
      </c>
      <c r="F22" s="234" t="str">
        <f>IF('1. Site Drainage Areas'!D16="","",(IF($C22="Yes",'1. Site Drainage Areas'!$AT16,0)))</f>
        <v/>
      </c>
      <c r="G22" s="240" t="str">
        <f>IF('1. Site Drainage Areas'!D16="","",(IF($C22="No",'1. Site Drainage Areas'!$AT16,0)))</f>
        <v/>
      </c>
      <c r="H22" s="247" t="str">
        <f>IF('1. Site Drainage Areas'!D16="","",'1. Site Drainage Areas'!BD16)</f>
        <v/>
      </c>
      <c r="J22" s="326">
        <f>'3. Detention'!N7</f>
        <v>0</v>
      </c>
      <c r="K22" s="327"/>
    </row>
    <row r="23" spans="2:11" ht="14.4" customHeight="1" x14ac:dyDescent="0.3">
      <c r="B23" s="215" t="str">
        <f>IF('1. Site Drainage Areas'!D17="","",('1. Site Drainage Areas'!D17))</f>
        <v/>
      </c>
      <c r="C23" s="236" t="str">
        <f>IF('1. Site Drainage Areas'!D17="","",('1. Site Drainage Areas'!E17))</f>
        <v/>
      </c>
      <c r="D23" s="216" t="str">
        <f>IF('1. Site Drainage Areas'!D17="","",(IF($C23="Yes",'1. Site Drainage Areas'!$AS17,0)))</f>
        <v/>
      </c>
      <c r="E23" s="216" t="str">
        <f>IF('1. Site Drainage Areas'!D17="","",(IF($C23="No",'1. Site Drainage Areas'!$AS17,0)))</f>
        <v/>
      </c>
      <c r="F23" s="234" t="str">
        <f>IF('1. Site Drainage Areas'!D17="","",(IF($C23="Yes",'1. Site Drainage Areas'!$AT17,0)))</f>
        <v/>
      </c>
      <c r="G23" s="240" t="str">
        <f>IF('1. Site Drainage Areas'!D17="","",(IF($C23="No",'1. Site Drainage Areas'!$AT17,0)))</f>
        <v/>
      </c>
      <c r="H23" s="247" t="str">
        <f>IF('1. Site Drainage Areas'!D17="","",'1. Site Drainage Areas'!BD17)</f>
        <v/>
      </c>
      <c r="J23" s="322" t="s">
        <v>274</v>
      </c>
      <c r="K23" s="323"/>
    </row>
    <row r="24" spans="2:11" x14ac:dyDescent="0.3">
      <c r="B24" s="215" t="str">
        <f>IF('1. Site Drainage Areas'!D18="","",('1. Site Drainage Areas'!D18))</f>
        <v/>
      </c>
      <c r="C24" s="236" t="str">
        <f>IF('1. Site Drainage Areas'!D18="","",('1. Site Drainage Areas'!E18))</f>
        <v/>
      </c>
      <c r="D24" s="216" t="str">
        <f>IF('1. Site Drainage Areas'!D18="","",(IF($C24="Yes",'1. Site Drainage Areas'!$AS18,0)))</f>
        <v/>
      </c>
      <c r="E24" s="216" t="str">
        <f>IF('1. Site Drainage Areas'!D18="","",(IF($C24="No",'1. Site Drainage Areas'!$AS18,0)))</f>
        <v/>
      </c>
      <c r="F24" s="234" t="str">
        <f>IF('1. Site Drainage Areas'!D18="","",(IF($C24="Yes",'1. Site Drainage Areas'!$AT18,0)))</f>
        <v/>
      </c>
      <c r="G24" s="240" t="str">
        <f>IF('1. Site Drainage Areas'!D18="","",(IF($C24="No",'1. Site Drainage Areas'!$AT18,0)))</f>
        <v/>
      </c>
      <c r="H24" s="247" t="str">
        <f>IF('1. Site Drainage Areas'!D18="","",'1. Site Drainage Areas'!BD18)</f>
        <v/>
      </c>
      <c r="J24" s="326">
        <f>'3. Detention'!AH7</f>
        <v>0</v>
      </c>
      <c r="K24" s="327"/>
    </row>
    <row r="25" spans="2:11" ht="14.4" customHeight="1" x14ac:dyDescent="0.3">
      <c r="B25" s="215" t="str">
        <f>IF('1. Site Drainage Areas'!D19="","",('1. Site Drainage Areas'!D19))</f>
        <v/>
      </c>
      <c r="C25" s="236" t="str">
        <f>IF('1. Site Drainage Areas'!D19="","",('1. Site Drainage Areas'!E19))</f>
        <v/>
      </c>
      <c r="D25" s="216" t="str">
        <f>IF('1. Site Drainage Areas'!D19="","",(IF($C25="Yes",'1. Site Drainage Areas'!$AS19,0)))</f>
        <v/>
      </c>
      <c r="E25" s="216" t="str">
        <f>IF('1. Site Drainage Areas'!D19="","",(IF($C25="No",'1. Site Drainage Areas'!$AS19,0)))</f>
        <v/>
      </c>
      <c r="F25" s="234" t="str">
        <f>IF('1. Site Drainage Areas'!D19="","",(IF($C25="Yes",'1. Site Drainage Areas'!$AT19,0)))</f>
        <v/>
      </c>
      <c r="G25" s="240" t="str">
        <f>IF('1. Site Drainage Areas'!D19="","",(IF($C25="No",'1. Site Drainage Areas'!$AT19,0)))</f>
        <v/>
      </c>
      <c r="H25" s="247" t="str">
        <f>IF('1. Site Drainage Areas'!D19="","",'1. Site Drainage Areas'!BD19)</f>
        <v/>
      </c>
      <c r="J25" s="322" t="s">
        <v>264</v>
      </c>
      <c r="K25" s="323"/>
    </row>
    <row r="26" spans="2:11" ht="15" thickBot="1" x14ac:dyDescent="0.35">
      <c r="B26" s="215" t="str">
        <f>IF('1. Site Drainage Areas'!D20="","",('1. Site Drainage Areas'!D20))</f>
        <v/>
      </c>
      <c r="C26" s="236" t="str">
        <f>IF('1. Site Drainage Areas'!D20="","",('1. Site Drainage Areas'!E20))</f>
        <v/>
      </c>
      <c r="D26" s="216" t="str">
        <f>IF('1. Site Drainage Areas'!D20="","",(IF($C26="Yes",'1. Site Drainage Areas'!$AS20,0)))</f>
        <v/>
      </c>
      <c r="E26" s="216" t="str">
        <f>IF('1. Site Drainage Areas'!D20="","",(IF($C26="No",'1. Site Drainage Areas'!$AS20,0)))</f>
        <v/>
      </c>
      <c r="F26" s="234" t="str">
        <f>IF('1. Site Drainage Areas'!D20="","",(IF($C26="Yes",'1. Site Drainage Areas'!$AT20,0)))</f>
        <v/>
      </c>
      <c r="G26" s="240" t="str">
        <f>IF('1. Site Drainage Areas'!D20="","",(IF($C26="No",'1. Site Drainage Areas'!$AT20,0)))</f>
        <v/>
      </c>
      <c r="H26" s="247" t="str">
        <f>IF('1. Site Drainage Areas'!D20="","",'1. Site Drainage Areas'!BD20)</f>
        <v/>
      </c>
      <c r="J26" s="324" t="str">
        <f>'3. Detention'!AI7</f>
        <v>No</v>
      </c>
      <c r="K26" s="325"/>
    </row>
    <row r="27" spans="2:11" x14ac:dyDescent="0.3">
      <c r="B27" s="215" t="str">
        <f>IF('1. Site Drainage Areas'!D21="","",('1. Site Drainage Areas'!D21))</f>
        <v/>
      </c>
      <c r="C27" s="236" t="str">
        <f>IF('1. Site Drainage Areas'!D21="","",('1. Site Drainage Areas'!E21))</f>
        <v/>
      </c>
      <c r="D27" s="216" t="str">
        <f>IF('1. Site Drainage Areas'!D21="","",(IF($C27="Yes",'1. Site Drainage Areas'!$AS21,0)))</f>
        <v/>
      </c>
      <c r="E27" s="216" t="str">
        <f>IF('1. Site Drainage Areas'!D21="","",(IF($C27="No",'1. Site Drainage Areas'!$AS21,0)))</f>
        <v/>
      </c>
      <c r="F27" s="234" t="str">
        <f>IF('1. Site Drainage Areas'!D21="","",(IF($C27="Yes",'1. Site Drainage Areas'!$AT21,0)))</f>
        <v/>
      </c>
      <c r="G27" s="240" t="str">
        <f>IF('1. Site Drainage Areas'!D21="","",(IF($C27="No",'1. Site Drainage Areas'!$AT21,0)))</f>
        <v/>
      </c>
      <c r="H27" s="247" t="str">
        <f>IF('1. Site Drainage Areas'!D21="","",'1. Site Drainage Areas'!BD21)</f>
        <v/>
      </c>
    </row>
    <row r="28" spans="2:11" x14ac:dyDescent="0.3">
      <c r="B28" s="215" t="str">
        <f>IF('1. Site Drainage Areas'!D22="","",('1. Site Drainage Areas'!D22))</f>
        <v/>
      </c>
      <c r="C28" s="236" t="str">
        <f>IF('1. Site Drainage Areas'!D22="","",('1. Site Drainage Areas'!E22))</f>
        <v/>
      </c>
      <c r="D28" s="216" t="str">
        <f>IF('1. Site Drainage Areas'!D22="","",(IF($C28="Yes",'1. Site Drainage Areas'!$AS22,0)))</f>
        <v/>
      </c>
      <c r="E28" s="216" t="str">
        <f>IF('1. Site Drainage Areas'!D22="","",(IF($C28="No",'1. Site Drainage Areas'!$AS22,0)))</f>
        <v/>
      </c>
      <c r="F28" s="234" t="str">
        <f>IF('1. Site Drainage Areas'!D22="","",(IF($C28="Yes",'1. Site Drainage Areas'!$AT22,0)))</f>
        <v/>
      </c>
      <c r="G28" s="240" t="str">
        <f>IF('1. Site Drainage Areas'!D22="","",(IF($C28="No",'1. Site Drainage Areas'!$AT22,0)))</f>
        <v/>
      </c>
      <c r="H28" s="247" t="str">
        <f>IF('1. Site Drainage Areas'!D22="","",'1. Site Drainage Areas'!BD22)</f>
        <v/>
      </c>
    </row>
    <row r="29" spans="2:11" x14ac:dyDescent="0.3">
      <c r="B29" s="215" t="str">
        <f>IF('1. Site Drainage Areas'!D23="","",('1. Site Drainage Areas'!D23))</f>
        <v/>
      </c>
      <c r="C29" s="236" t="str">
        <f>IF('1. Site Drainage Areas'!D23="","",('1. Site Drainage Areas'!E23))</f>
        <v/>
      </c>
      <c r="D29" s="216" t="str">
        <f>IF('1. Site Drainage Areas'!D23="","",(IF($C29="Yes",'1. Site Drainage Areas'!$AS23,0)))</f>
        <v/>
      </c>
      <c r="E29" s="216" t="str">
        <f>IF('1. Site Drainage Areas'!D23="","",(IF($C29="No",'1. Site Drainage Areas'!$AS23,0)))</f>
        <v/>
      </c>
      <c r="F29" s="234" t="str">
        <f>IF('1. Site Drainage Areas'!D23="","",(IF($C29="Yes",'1. Site Drainage Areas'!$AT23,0)))</f>
        <v/>
      </c>
      <c r="G29" s="240" t="str">
        <f>IF('1. Site Drainage Areas'!D23="","",(IF($C29="No",'1. Site Drainage Areas'!$AT23,0)))</f>
        <v/>
      </c>
      <c r="H29" s="247" t="str">
        <f>IF('1. Site Drainage Areas'!D23="","",'1. Site Drainage Areas'!BD23)</f>
        <v/>
      </c>
    </row>
    <row r="30" spans="2:11" x14ac:dyDescent="0.3">
      <c r="B30" s="215" t="str">
        <f>IF('1. Site Drainage Areas'!D24="","",('1. Site Drainage Areas'!D24))</f>
        <v/>
      </c>
      <c r="C30" s="236" t="str">
        <f>IF('1. Site Drainage Areas'!D24="","",('1. Site Drainage Areas'!E24))</f>
        <v/>
      </c>
      <c r="D30" s="216" t="str">
        <f>IF('1. Site Drainage Areas'!D24="","",(IF($C30="Yes",'1. Site Drainage Areas'!$AS24,0)))</f>
        <v/>
      </c>
      <c r="E30" s="216" t="str">
        <f>IF('1. Site Drainage Areas'!D24="","",(IF($C30="No",'1. Site Drainage Areas'!$AS24,0)))</f>
        <v/>
      </c>
      <c r="F30" s="234" t="str">
        <f>IF('1. Site Drainage Areas'!D24="","",(IF($C30="Yes",'1. Site Drainage Areas'!$AT24,0)))</f>
        <v/>
      </c>
      <c r="G30" s="240" t="str">
        <f>IF('1. Site Drainage Areas'!D24="","",(IF($C30="No",'1. Site Drainage Areas'!$AT24,0)))</f>
        <v/>
      </c>
      <c r="H30" s="247" t="str">
        <f>IF('1. Site Drainage Areas'!D24="","",'1. Site Drainage Areas'!BD24)</f>
        <v/>
      </c>
    </row>
    <row r="31" spans="2:11" ht="15" thickBot="1" x14ac:dyDescent="0.35">
      <c r="B31" s="219" t="str">
        <f>IF('1. Site Drainage Areas'!D25="","",('1. Site Drainage Areas'!D25))</f>
        <v/>
      </c>
      <c r="C31" s="237" t="str">
        <f>IF('1. Site Drainage Areas'!D25="","",('1. Site Drainage Areas'!E25))</f>
        <v/>
      </c>
      <c r="D31" s="220" t="str">
        <f>IF('1. Site Drainage Areas'!D25="","",(IF($C31="Yes",'1. Site Drainage Areas'!$AS25,0)))</f>
        <v/>
      </c>
      <c r="E31" s="220" t="str">
        <f>IF('1. Site Drainage Areas'!D25="","",(IF($C31="No",'1. Site Drainage Areas'!$AS25,0)))</f>
        <v/>
      </c>
      <c r="F31" s="235" t="str">
        <f>IF('1. Site Drainage Areas'!D25="","",(IF($C31="Yes",'1. Site Drainage Areas'!$AT25,0)))</f>
        <v/>
      </c>
      <c r="G31" s="245" t="str">
        <f>IF('1. Site Drainage Areas'!D25="","",(IF($C31="No",'1. Site Drainage Areas'!$AT25,0)))</f>
        <v/>
      </c>
      <c r="H31" s="248" t="str">
        <f>IF('1. Site Drainage Areas'!D25="","",'1. Site Drainage Areas'!BD25)</f>
        <v/>
      </c>
    </row>
    <row r="32" spans="2:11" x14ac:dyDescent="0.3">
      <c r="F32" s="193"/>
      <c r="G32" s="193"/>
      <c r="H32" s="193"/>
    </row>
    <row r="33" spans="6:8" x14ac:dyDescent="0.3">
      <c r="F33" s="193"/>
      <c r="G33" s="193"/>
      <c r="H33" s="193"/>
    </row>
  </sheetData>
  <sheetProtection algorithmName="SHA-512" hashValue="rbIl/6sI04XUIdyp0p+GuExsZNleuieXRYdZkJ7KagPdE1eeE8qM5oPtAWkDbuSZnDNK1rHXlaMEW619RbMQ8A==" saltValue="vJwx8J7KQ+RnpTfqXc0b5w==" spinCount="100000" sheet="1" objects="1" scenarios="1"/>
  <mergeCells count="17">
    <mergeCell ref="J26:K26"/>
    <mergeCell ref="J16:K16"/>
    <mergeCell ref="J18:K18"/>
    <mergeCell ref="J15:K15"/>
    <mergeCell ref="J17:K17"/>
    <mergeCell ref="J21:K21"/>
    <mergeCell ref="J23:K23"/>
    <mergeCell ref="J25:K25"/>
    <mergeCell ref="J19:K19"/>
    <mergeCell ref="J22:K22"/>
    <mergeCell ref="J24:K24"/>
    <mergeCell ref="B7:C9"/>
    <mergeCell ref="B2:C4"/>
    <mergeCell ref="B10:C10"/>
    <mergeCell ref="B13:B14"/>
    <mergeCell ref="J13:K13"/>
    <mergeCell ref="J14:K1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1C7DE4-7AAC-43DF-961C-6FBE284CD51A}">
  <sheetPr codeName="Sheet11">
    <tabColor theme="0"/>
  </sheetPr>
  <dimension ref="B2:AA39"/>
  <sheetViews>
    <sheetView topLeftCell="A13" zoomScale="70" zoomScaleNormal="70" workbookViewId="0">
      <selection activeCell="D26" sqref="D26"/>
    </sheetView>
  </sheetViews>
  <sheetFormatPr defaultColWidth="8.88671875" defaultRowHeight="14.4" x14ac:dyDescent="0.3"/>
  <cols>
    <col min="1" max="1" width="4.6640625" style="4" customWidth="1"/>
    <col min="2" max="2" width="12" style="4" customWidth="1"/>
    <col min="3" max="3" width="12.5546875" style="4" customWidth="1"/>
    <col min="4" max="4" width="13.33203125" style="4" customWidth="1"/>
    <col min="5" max="5" width="14" style="4" customWidth="1"/>
    <col min="6" max="6" width="13" style="4" bestFit="1" customWidth="1"/>
    <col min="7" max="9" width="13.109375" style="4" customWidth="1"/>
    <col min="10" max="10" width="12.44140625" style="4" customWidth="1"/>
    <col min="11" max="11" width="12" style="4" customWidth="1"/>
    <col min="12" max="13" width="11.6640625" style="4" customWidth="1"/>
    <col min="14" max="14" width="12.109375" style="4" customWidth="1"/>
    <col min="15" max="15" width="11.6640625" style="4" customWidth="1"/>
    <col min="16" max="16" width="12.88671875" style="4" customWidth="1"/>
    <col min="17" max="18" width="11.77734375" style="4" customWidth="1"/>
    <col min="19" max="19" width="12.33203125" style="4" customWidth="1"/>
    <col min="20" max="20" width="15.77734375" style="4" customWidth="1"/>
    <col min="21" max="21" width="13.109375" style="4" customWidth="1"/>
    <col min="22" max="22" width="14.21875" style="4" customWidth="1"/>
    <col min="23" max="23" width="11.21875" style="4" customWidth="1"/>
    <col min="24" max="24" width="12.109375" style="4" customWidth="1"/>
    <col min="25" max="25" width="12.6640625" style="4" customWidth="1"/>
    <col min="26" max="26" width="11.21875" style="4" customWidth="1"/>
    <col min="27" max="27" width="11.5546875" style="4" customWidth="1"/>
    <col min="28" max="28" width="12.33203125" style="4" customWidth="1"/>
    <col min="29" max="29" width="9.33203125" style="4" customWidth="1"/>
    <col min="30" max="30" width="10.33203125" style="4" customWidth="1"/>
    <col min="31" max="31" width="14.88671875" style="4" customWidth="1"/>
    <col min="32" max="32" width="13" style="4" customWidth="1"/>
    <col min="33" max="34" width="10.33203125" style="4" customWidth="1"/>
    <col min="35" max="35" width="15.6640625" style="4" customWidth="1"/>
    <col min="36" max="36" width="9.33203125" style="4" customWidth="1"/>
    <col min="37" max="37" width="12.33203125" style="4" customWidth="1"/>
    <col min="38" max="38" width="11.88671875" style="4" customWidth="1"/>
    <col min="39" max="39" width="9.33203125" style="4" customWidth="1"/>
    <col min="40" max="41" width="17.6640625" style="4" bestFit="1" customWidth="1"/>
    <col min="42" max="42" width="17.5546875" style="4" customWidth="1"/>
    <col min="43" max="43" width="18" style="4" bestFit="1" customWidth="1"/>
    <col min="44" max="44" width="17.6640625" style="4" bestFit="1" customWidth="1"/>
    <col min="45" max="45" width="13.88671875" style="4" bestFit="1" customWidth="1"/>
    <col min="46" max="47" width="14.109375" style="4" bestFit="1" customWidth="1"/>
    <col min="48" max="16384" width="8.88671875" style="4"/>
  </cols>
  <sheetData>
    <row r="2" spans="2:27" ht="38.4" customHeight="1" x14ac:dyDescent="0.3"/>
    <row r="3" spans="2:27" ht="82.2" customHeight="1" x14ac:dyDescent="0.3"/>
    <row r="6" spans="2:27" x14ac:dyDescent="0.3">
      <c r="D6" s="3"/>
      <c r="E6" s="3"/>
    </row>
    <row r="7" spans="2:27" ht="15" thickBot="1" x14ac:dyDescent="0.35"/>
    <row r="8" spans="2:27" s="5" customFormat="1" ht="15" thickBot="1" x14ac:dyDescent="0.35">
      <c r="B8" s="120" t="s">
        <v>80</v>
      </c>
      <c r="C8" s="121"/>
      <c r="D8" s="121"/>
      <c r="E8" s="121"/>
      <c r="F8" s="121"/>
      <c r="G8" s="121"/>
      <c r="H8" s="121"/>
      <c r="I8" s="121"/>
      <c r="J8" s="121"/>
      <c r="K8" s="121"/>
      <c r="L8" s="121"/>
      <c r="M8" s="121"/>
      <c r="N8" s="121"/>
      <c r="O8" s="121"/>
      <c r="P8" s="121"/>
      <c r="Q8" s="121"/>
      <c r="R8" s="121"/>
      <c r="S8" s="121"/>
      <c r="T8" s="121"/>
      <c r="U8" s="122"/>
    </row>
    <row r="9" spans="2:27" s="5" customFormat="1" ht="15" thickBot="1" x14ac:dyDescent="0.35">
      <c r="B9" s="328" t="s">
        <v>240</v>
      </c>
      <c r="C9" s="328"/>
      <c r="D9" s="328"/>
      <c r="E9" s="328"/>
      <c r="F9" s="328"/>
      <c r="G9" s="329" t="s">
        <v>241</v>
      </c>
      <c r="H9" s="330"/>
      <c r="I9" s="330"/>
      <c r="J9" s="330"/>
      <c r="K9" s="331"/>
      <c r="L9" s="337" t="s">
        <v>239</v>
      </c>
      <c r="M9" s="338"/>
      <c r="N9" s="338"/>
      <c r="O9" s="338"/>
      <c r="P9" s="339"/>
      <c r="Q9" s="332" t="s">
        <v>167</v>
      </c>
      <c r="R9" s="333"/>
      <c r="S9" s="333"/>
      <c r="T9" s="333"/>
      <c r="U9" s="340"/>
    </row>
    <row r="10" spans="2:27" s="11" customFormat="1" ht="43.2" customHeight="1" x14ac:dyDescent="0.3">
      <c r="B10" s="8" t="s">
        <v>82</v>
      </c>
      <c r="C10" s="9" t="s">
        <v>83</v>
      </c>
      <c r="D10" s="9" t="s">
        <v>84</v>
      </c>
      <c r="E10" s="9" t="s">
        <v>85</v>
      </c>
      <c r="F10" s="9" t="s">
        <v>56</v>
      </c>
      <c r="G10" s="9" t="s">
        <v>82</v>
      </c>
      <c r="H10" s="9" t="s">
        <v>83</v>
      </c>
      <c r="I10" s="9" t="s">
        <v>84</v>
      </c>
      <c r="J10" s="9" t="s">
        <v>85</v>
      </c>
      <c r="K10" s="10" t="s">
        <v>56</v>
      </c>
      <c r="L10" s="9" t="s">
        <v>82</v>
      </c>
      <c r="M10" s="9" t="s">
        <v>83</v>
      </c>
      <c r="N10" s="9" t="s">
        <v>84</v>
      </c>
      <c r="O10" s="9" t="s">
        <v>85</v>
      </c>
      <c r="P10" s="10" t="s">
        <v>56</v>
      </c>
      <c r="Q10" s="9" t="s">
        <v>82</v>
      </c>
      <c r="R10" s="9" t="s">
        <v>83</v>
      </c>
      <c r="S10" s="9" t="s">
        <v>84</v>
      </c>
      <c r="T10" s="9" t="s">
        <v>85</v>
      </c>
      <c r="U10" s="10" t="s">
        <v>56</v>
      </c>
    </row>
    <row r="11" spans="2:27" s="15" customFormat="1" ht="15" thickBot="1" x14ac:dyDescent="0.35">
      <c r="B11" s="12" t="s">
        <v>86</v>
      </c>
      <c r="C11" s="13" t="s">
        <v>86</v>
      </c>
      <c r="D11" s="13" t="s">
        <v>86</v>
      </c>
      <c r="E11" s="13" t="s">
        <v>86</v>
      </c>
      <c r="F11" s="13" t="s">
        <v>86</v>
      </c>
      <c r="G11" s="13" t="s">
        <v>86</v>
      </c>
      <c r="H11" s="13" t="s">
        <v>86</v>
      </c>
      <c r="I11" s="13" t="s">
        <v>86</v>
      </c>
      <c r="J11" s="13" t="s">
        <v>86</v>
      </c>
      <c r="K11" s="14" t="s">
        <v>86</v>
      </c>
      <c r="L11" s="13" t="s">
        <v>86</v>
      </c>
      <c r="M11" s="13" t="s">
        <v>86</v>
      </c>
      <c r="N11" s="13" t="s">
        <v>86</v>
      </c>
      <c r="O11" s="13" t="s">
        <v>86</v>
      </c>
      <c r="P11" s="14" t="s">
        <v>86</v>
      </c>
      <c r="Q11" s="13" t="s">
        <v>86</v>
      </c>
      <c r="R11" s="13" t="s">
        <v>86</v>
      </c>
      <c r="S11" s="13" t="s">
        <v>86</v>
      </c>
      <c r="T11" s="13" t="s">
        <v>86</v>
      </c>
      <c r="U11" s="14" t="s">
        <v>86</v>
      </c>
    </row>
    <row r="12" spans="2:27" ht="15" thickBot="1" x14ac:dyDescent="0.35">
      <c r="B12" s="188">
        <f>SUMIF('1. Site Drainage Areas'!$E$9:$E$25,"yes",'1. Site Drainage Areas'!F$9:F$25)</f>
        <v>0</v>
      </c>
      <c r="C12" s="188">
        <f>SUMIF('1. Site Drainage Areas'!$E$9:$E$25,"yes",'1. Site Drainage Areas'!G9:G25)</f>
        <v>0</v>
      </c>
      <c r="D12" s="188">
        <f>SUMIF('1. Site Drainage Areas'!$E$9:$E$25,"yes",'1. Site Drainage Areas'!H9:H25)</f>
        <v>0</v>
      </c>
      <c r="E12" s="188">
        <f>SUMIF('1. Site Drainage Areas'!$E$9:$E$25,"yes",'1. Site Drainage Areas'!I9:I25)</f>
        <v>0</v>
      </c>
      <c r="F12" s="63">
        <f>SUM(B12:E12)</f>
        <v>0</v>
      </c>
      <c r="G12" s="188">
        <f>SUMIF('1. Site Drainage Areas'!$E$9:$E$25,"no",'1. Site Drainage Areas'!F9:F25)</f>
        <v>0</v>
      </c>
      <c r="H12" s="188">
        <f>SUMIF('1. Site Drainage Areas'!$E$9:$E$25,"no",'1. Site Drainage Areas'!G9:G25)</f>
        <v>0</v>
      </c>
      <c r="I12" s="188">
        <f>SUMIF('1. Site Drainage Areas'!$E$9:$E$25,"no",'1. Site Drainage Areas'!H9:H25)</f>
        <v>0</v>
      </c>
      <c r="J12" s="188">
        <f>SUMIF('1. Site Drainage Areas'!$E$9:$E$25,"no",'1. Site Drainage Areas'!I9:I25)</f>
        <v>0</v>
      </c>
      <c r="K12" s="80">
        <f>SUM(G12:J12)</f>
        <v>0</v>
      </c>
      <c r="L12" s="189">
        <f>'1. Site Drainage Areas'!K8</f>
        <v>0</v>
      </c>
      <c r="M12" s="189">
        <f>'1. Site Drainage Areas'!L8</f>
        <v>10000</v>
      </c>
      <c r="N12" s="189">
        <f>'1. Site Drainage Areas'!M8</f>
        <v>0</v>
      </c>
      <c r="O12" s="189">
        <f>'1. Site Drainage Areas'!N8</f>
        <v>0</v>
      </c>
      <c r="P12" s="80">
        <f>SUM(L12:O12)</f>
        <v>10000</v>
      </c>
      <c r="Q12" s="63">
        <f>B12+G12+L12</f>
        <v>0</v>
      </c>
      <c r="R12" s="63">
        <f t="shared" ref="R12:T12" si="0">C12+H12+M12</f>
        <v>10000</v>
      </c>
      <c r="S12" s="63">
        <f t="shared" si="0"/>
        <v>0</v>
      </c>
      <c r="T12" s="63">
        <f t="shared" si="0"/>
        <v>0</v>
      </c>
      <c r="U12" s="80">
        <f>SUM(Q12:T12)</f>
        <v>10000</v>
      </c>
    </row>
    <row r="14" spans="2:27" ht="15" thickBot="1" x14ac:dyDescent="0.35">
      <c r="B14" s="3"/>
      <c r="C14" s="3"/>
      <c r="D14" s="3"/>
      <c r="E14" s="3"/>
      <c r="F14" s="3"/>
      <c r="G14" s="3"/>
      <c r="H14" s="3"/>
      <c r="I14" s="3"/>
      <c r="J14" s="3"/>
      <c r="K14" s="3"/>
    </row>
    <row r="15" spans="2:27" ht="15" thickBot="1" x14ac:dyDescent="0.35">
      <c r="B15" s="334" t="s">
        <v>87</v>
      </c>
      <c r="C15" s="335"/>
      <c r="D15" s="335"/>
      <c r="E15" s="335"/>
      <c r="F15" s="335"/>
      <c r="G15" s="335"/>
      <c r="H15" s="335"/>
      <c r="I15" s="335"/>
      <c r="J15" s="335"/>
      <c r="K15" s="335"/>
      <c r="L15" s="335"/>
      <c r="M15" s="335"/>
      <c r="N15" s="335"/>
      <c r="O15" s="335"/>
      <c r="P15" s="335"/>
      <c r="Q15" s="335"/>
      <c r="R15" s="335"/>
      <c r="S15" s="335"/>
      <c r="T15" s="335"/>
      <c r="U15" s="335"/>
      <c r="V15" s="335"/>
      <c r="W15" s="335"/>
      <c r="X15" s="335"/>
      <c r="Y15" s="335"/>
      <c r="Z15" s="335"/>
      <c r="AA15" s="335"/>
    </row>
    <row r="16" spans="2:27" ht="15" thickBot="1" x14ac:dyDescent="0.35">
      <c r="B16" s="341" t="s">
        <v>81</v>
      </c>
      <c r="C16" s="342"/>
      <c r="D16" s="342"/>
      <c r="E16" s="342"/>
      <c r="F16" s="342"/>
      <c r="G16" s="342"/>
      <c r="H16" s="343"/>
      <c r="I16" s="329" t="s">
        <v>242</v>
      </c>
      <c r="J16" s="330"/>
      <c r="K16" s="330"/>
      <c r="L16" s="330"/>
      <c r="M16" s="330"/>
      <c r="N16" s="330"/>
      <c r="O16" s="331"/>
      <c r="P16" s="337" t="s">
        <v>239</v>
      </c>
      <c r="Q16" s="338"/>
      <c r="R16" s="338"/>
      <c r="S16" s="338"/>
      <c r="T16" s="338"/>
      <c r="U16" s="338"/>
      <c r="V16" s="339"/>
      <c r="W16" s="332" t="s">
        <v>167</v>
      </c>
      <c r="X16" s="333"/>
      <c r="Y16" s="333"/>
      <c r="Z16" s="333"/>
      <c r="AA16" s="333"/>
    </row>
    <row r="17" spans="2:27" ht="43.2" x14ac:dyDescent="0.3">
      <c r="B17" s="8" t="s">
        <v>82</v>
      </c>
      <c r="C17" s="9" t="s">
        <v>83</v>
      </c>
      <c r="D17" s="9" t="s">
        <v>84</v>
      </c>
      <c r="E17" s="9" t="s">
        <v>85</v>
      </c>
      <c r="F17" s="9" t="s">
        <v>246</v>
      </c>
      <c r="G17" s="9" t="s">
        <v>90</v>
      </c>
      <c r="H17" s="137" t="s">
        <v>243</v>
      </c>
      <c r="I17" s="8" t="s">
        <v>82</v>
      </c>
      <c r="J17" s="9" t="s">
        <v>83</v>
      </c>
      <c r="K17" s="9" t="s">
        <v>84</v>
      </c>
      <c r="L17" s="9" t="s">
        <v>85</v>
      </c>
      <c r="M17" s="9" t="s">
        <v>247</v>
      </c>
      <c r="N17" s="132" t="s">
        <v>90</v>
      </c>
      <c r="O17" s="10" t="s">
        <v>244</v>
      </c>
      <c r="P17" s="8" t="s">
        <v>82</v>
      </c>
      <c r="Q17" s="9" t="s">
        <v>83</v>
      </c>
      <c r="R17" s="9" t="s">
        <v>84</v>
      </c>
      <c r="S17" s="9" t="s">
        <v>85</v>
      </c>
      <c r="T17" s="9" t="s">
        <v>249</v>
      </c>
      <c r="U17" s="9" t="s">
        <v>90</v>
      </c>
      <c r="V17" s="10" t="s">
        <v>245</v>
      </c>
      <c r="W17" s="9" t="s">
        <v>82</v>
      </c>
      <c r="X17" s="9" t="s">
        <v>83</v>
      </c>
      <c r="Y17" s="9" t="s">
        <v>84</v>
      </c>
      <c r="Z17" s="9" t="s">
        <v>85</v>
      </c>
      <c r="AA17" s="9" t="s">
        <v>56</v>
      </c>
    </row>
    <row r="18" spans="2:27" ht="15" thickBot="1" x14ac:dyDescent="0.35">
      <c r="B18" s="12" t="s">
        <v>86</v>
      </c>
      <c r="C18" s="13" t="s">
        <v>86</v>
      </c>
      <c r="D18" s="13" t="s">
        <v>86</v>
      </c>
      <c r="E18" s="13" t="s">
        <v>86</v>
      </c>
      <c r="F18" s="13" t="s">
        <v>86</v>
      </c>
      <c r="G18" s="13" t="s">
        <v>95</v>
      </c>
      <c r="H18" s="138"/>
      <c r="I18" s="12" t="s">
        <v>86</v>
      </c>
      <c r="J18" s="13" t="s">
        <v>86</v>
      </c>
      <c r="K18" s="13" t="s">
        <v>86</v>
      </c>
      <c r="L18" s="13" t="s">
        <v>86</v>
      </c>
      <c r="M18" s="13" t="s">
        <v>86</v>
      </c>
      <c r="N18" s="133" t="s">
        <v>95</v>
      </c>
      <c r="O18" s="14"/>
      <c r="P18" s="12" t="s">
        <v>86</v>
      </c>
      <c r="Q18" s="13" t="s">
        <v>86</v>
      </c>
      <c r="R18" s="13" t="s">
        <v>86</v>
      </c>
      <c r="S18" s="13" t="s">
        <v>86</v>
      </c>
      <c r="T18" s="13" t="s">
        <v>86</v>
      </c>
      <c r="U18" s="13" t="s">
        <v>95</v>
      </c>
      <c r="V18" s="14"/>
      <c r="W18" s="13" t="s">
        <v>86</v>
      </c>
      <c r="X18" s="13" t="s">
        <v>86</v>
      </c>
      <c r="Y18" s="13" t="s">
        <v>86</v>
      </c>
      <c r="Z18" s="13" t="s">
        <v>86</v>
      </c>
      <c r="AA18" s="13" t="s">
        <v>86</v>
      </c>
    </row>
    <row r="19" spans="2:27" ht="15" thickBot="1" x14ac:dyDescent="0.35">
      <c r="B19" s="188">
        <f>SUMIF('1. Site Drainage Areas'!$E$9:$E$25,"yes",'1. Site Drainage Areas'!P$9:P$25)</f>
        <v>0</v>
      </c>
      <c r="C19" s="188">
        <f>SUMIF('1. Site Drainage Areas'!$E$9:$E$25,"yes",'1. Site Drainage Areas'!Q$9:Q$25)</f>
        <v>0</v>
      </c>
      <c r="D19" s="188">
        <f>SUMIF('1. Site Drainage Areas'!$E$9:$E$25,"yes",'1. Site Drainage Areas'!R$9:R$25)</f>
        <v>0</v>
      </c>
      <c r="E19" s="188">
        <f>SUMIF('1. Site Drainage Areas'!$E$9:$E$25,"yes",'1. Site Drainage Areas'!T$9:T$25)</f>
        <v>0</v>
      </c>
      <c r="F19" s="63">
        <f>SUM(B19:E19)</f>
        <v>0</v>
      </c>
      <c r="G19" s="95">
        <f>IF(AND(F19&gt;0,AA19&gt;=5000,OR(Y19+Z19&gt;=2500,Q12&gt;0)),1.2,0)</f>
        <v>0</v>
      </c>
      <c r="H19" s="143">
        <f>IF(F19&gt;0,(0*B19+0.25*C19+0.95*D19+0.95*E19)/F19,0)</f>
        <v>0</v>
      </c>
      <c r="I19" s="188">
        <f>SUMIF('1. Site Drainage Areas'!$E$9:$E$25,"no",'1. Site Drainage Areas'!P$9:P$25)</f>
        <v>0</v>
      </c>
      <c r="J19" s="188">
        <f>SUMIF('1. Site Drainage Areas'!$E$9:$E$25,"no",'1. Site Drainage Areas'!Q$9:Q$25)</f>
        <v>0</v>
      </c>
      <c r="K19" s="188">
        <f>SUMIF('1. Site Drainage Areas'!$E$9:$E$25,"no",'1. Site Drainage Areas'!R$9:R$25)</f>
        <v>0</v>
      </c>
      <c r="L19" s="188">
        <f>SUMIF('1. Site Drainage Areas'!$E$9:$E$25,"no",'1. Site Drainage Areas'!T$9:T$25)</f>
        <v>0</v>
      </c>
      <c r="M19" s="63">
        <f>SUM(I19:L19)</f>
        <v>0</v>
      </c>
      <c r="N19" s="134">
        <f>IF('1. Site Drainage Areas'!C4="Yes",IF(AND(M19+F19&gt;=5000,OR(Y19+Z19&gt;=2500,Q12&gt;0)),1.2,IF(AND(M19&gt;0,AA19&gt;=5000,OR(Y19+Z19&gt;=2500,Q12&gt;0)),1,0)),IF(AND(M19+F19&gt;=5000,OR(Y19+Z19&gt;=2500,Q12&gt;0)),1.2,IF(AND(M19&gt;0,AA19&gt;=5000,OR(Y19+Z19&gt;=2500,Q12&gt;0)),0.8,0)))</f>
        <v>0</v>
      </c>
      <c r="O19" s="143">
        <f>IF(M19&gt;0,(0*I19+0.25*J19+0.95*K19+0.95*L19)/M19,0)</f>
        <v>0</v>
      </c>
      <c r="P19" s="188">
        <f>'1. Site Drainage Areas'!Z8</f>
        <v>0</v>
      </c>
      <c r="Q19" s="188">
        <f>'1. Site Drainage Areas'!AA8</f>
        <v>0</v>
      </c>
      <c r="R19" s="188">
        <f>'1. Site Drainage Areas'!AB8</f>
        <v>10000</v>
      </c>
      <c r="S19" s="188">
        <f>'1. Site Drainage Areas'!AD8</f>
        <v>0</v>
      </c>
      <c r="T19" s="63">
        <f>SUM(P19:S19)</f>
        <v>10000</v>
      </c>
      <c r="U19" s="62">
        <f>IF('1. Site Drainage Areas'!C4="Yes",IF(AND(T19&gt;0,AA19&gt;=5000,OR(Y19+Z19&gt;=2500,Q12&gt;0)),1,0),IF(AND(T19&gt;0,AA19&gt;=5000,OR(Y19+Z19&gt;=2500,Q12&gt;0)),0.8,0))</f>
        <v>0.8</v>
      </c>
      <c r="V19" s="143">
        <f>IF(T19&gt;0,(0*P19+0.25*Q19+0.95*R19+0.95*S19)/T19,0)</f>
        <v>0.95</v>
      </c>
      <c r="W19" s="63">
        <f>B19+I19+P19</f>
        <v>0</v>
      </c>
      <c r="X19" s="63">
        <f t="shared" ref="X19:Z19" si="1">C19+J19+Q19</f>
        <v>0</v>
      </c>
      <c r="Y19" s="63">
        <f t="shared" si="1"/>
        <v>10000</v>
      </c>
      <c r="Z19" s="63">
        <f t="shared" si="1"/>
        <v>0</v>
      </c>
      <c r="AA19" s="63">
        <f>SUM(W19:Z19)</f>
        <v>10000</v>
      </c>
    </row>
    <row r="20" spans="2:27" x14ac:dyDescent="0.3">
      <c r="F20" s="3"/>
    </row>
    <row r="21" spans="2:27" ht="15" thickBot="1" x14ac:dyDescent="0.35">
      <c r="N21" s="3"/>
      <c r="O21" s="3"/>
      <c r="P21" s="3"/>
      <c r="Q21" s="3"/>
      <c r="U21" s="3"/>
      <c r="V21" s="3"/>
      <c r="W21" s="3"/>
    </row>
    <row r="22" spans="2:27" ht="15" thickBot="1" x14ac:dyDescent="0.35">
      <c r="B22" s="334" t="s">
        <v>248</v>
      </c>
      <c r="C22" s="335"/>
      <c r="D22" s="335"/>
      <c r="E22" s="335"/>
      <c r="F22" s="335"/>
      <c r="G22" s="335"/>
      <c r="H22" s="335"/>
      <c r="I22" s="335"/>
      <c r="J22" s="335"/>
      <c r="K22" s="335"/>
      <c r="L22" s="335"/>
      <c r="M22" s="335"/>
      <c r="N22" s="335"/>
      <c r="O22" s="335"/>
      <c r="P22" s="335"/>
      <c r="Q22" s="336"/>
    </row>
    <row r="23" spans="2:27" ht="15" thickBot="1" x14ac:dyDescent="0.35">
      <c r="B23" s="341" t="s">
        <v>97</v>
      </c>
      <c r="C23" s="342"/>
      <c r="D23" s="342"/>
      <c r="E23" s="343"/>
      <c r="F23" s="329" t="s">
        <v>242</v>
      </c>
      <c r="G23" s="330"/>
      <c r="H23" s="330"/>
      <c r="I23" s="331"/>
      <c r="J23" s="337" t="s">
        <v>89</v>
      </c>
      <c r="K23" s="338"/>
      <c r="L23" s="338"/>
      <c r="M23" s="339"/>
      <c r="N23" s="332" t="s">
        <v>250</v>
      </c>
      <c r="O23" s="333"/>
      <c r="P23" s="333"/>
      <c r="Q23" s="340"/>
    </row>
    <row r="24" spans="2:27" ht="72" x14ac:dyDescent="0.3">
      <c r="B24" s="8" t="s">
        <v>98</v>
      </c>
      <c r="C24" s="9" t="s">
        <v>98</v>
      </c>
      <c r="D24" s="9" t="s">
        <v>99</v>
      </c>
      <c r="E24" s="10" t="s">
        <v>100</v>
      </c>
      <c r="F24" s="8" t="s">
        <v>98</v>
      </c>
      <c r="G24" s="9" t="s">
        <v>98</v>
      </c>
      <c r="H24" s="9" t="s">
        <v>99</v>
      </c>
      <c r="I24" s="10" t="s">
        <v>100</v>
      </c>
      <c r="J24" s="9" t="s">
        <v>98</v>
      </c>
      <c r="K24" s="9" t="s">
        <v>98</v>
      </c>
      <c r="L24" s="9" t="s">
        <v>99</v>
      </c>
      <c r="M24" s="10" t="s">
        <v>100</v>
      </c>
      <c r="N24" s="9" t="s">
        <v>98</v>
      </c>
      <c r="O24" s="9" t="s">
        <v>98</v>
      </c>
      <c r="P24" s="9" t="s">
        <v>99</v>
      </c>
      <c r="Q24" s="10" t="s">
        <v>100</v>
      </c>
    </row>
    <row r="25" spans="2:27" ht="15" thickBot="1" x14ac:dyDescent="0.35">
      <c r="B25" s="140" t="s">
        <v>55</v>
      </c>
      <c r="C25" s="141" t="s">
        <v>63</v>
      </c>
      <c r="D25" s="141" t="s">
        <v>55</v>
      </c>
      <c r="E25" s="142" t="s">
        <v>63</v>
      </c>
      <c r="F25" s="12" t="s">
        <v>55</v>
      </c>
      <c r="G25" s="13" t="s">
        <v>63</v>
      </c>
      <c r="H25" s="13" t="s">
        <v>55</v>
      </c>
      <c r="I25" s="14" t="s">
        <v>63</v>
      </c>
      <c r="J25" s="13" t="s">
        <v>55</v>
      </c>
      <c r="K25" s="13" t="s">
        <v>63</v>
      </c>
      <c r="L25" s="13" t="s">
        <v>55</v>
      </c>
      <c r="M25" s="14" t="s">
        <v>63</v>
      </c>
      <c r="N25" s="13" t="s">
        <v>55</v>
      </c>
      <c r="O25" s="13" t="s">
        <v>63</v>
      </c>
      <c r="P25" s="13" t="s">
        <v>55</v>
      </c>
      <c r="Q25" s="14" t="s">
        <v>63</v>
      </c>
    </row>
    <row r="26" spans="2:27" ht="15" thickBot="1" x14ac:dyDescent="0.35">
      <c r="B26" s="81">
        <f>G19/12*H19*F19</f>
        <v>0</v>
      </c>
      <c r="C26" s="63">
        <f>B26*7.48</f>
        <v>0</v>
      </c>
      <c r="D26" s="63" t="str">
        <f>IF('1. Site Drainage Areas'!$C$4="Yes",1.7/12*F19*H19-B26,"N/A")</f>
        <v>N/A</v>
      </c>
      <c r="E26" s="80" t="str">
        <f>IF(D26="N/A","N/A",D26*7.48)</f>
        <v>N/A</v>
      </c>
      <c r="F26" s="81">
        <f>N19/12*O19*M19</f>
        <v>0</v>
      </c>
      <c r="G26" s="63">
        <f>F26*7.48</f>
        <v>0</v>
      </c>
      <c r="H26" s="63" t="str">
        <f>IF('1. Site Drainage Areas'!$C$4="Yes",1.7/12*M19*O19-F26,"NA")</f>
        <v>NA</v>
      </c>
      <c r="I26" s="80" t="str">
        <f>IF(H26="NA","NA",H26*7.48)</f>
        <v>NA</v>
      </c>
      <c r="J26" s="63">
        <f>U19/12*V19*T19</f>
        <v>633.33333333333326</v>
      </c>
      <c r="K26" s="63">
        <f>J26*7.48</f>
        <v>4737.333333333333</v>
      </c>
      <c r="L26" s="63" t="str">
        <f>IF('1. Site Drainage Areas'!$C$4="Yes",1.7/12*V19*T19-J26,"N/A")</f>
        <v>N/A</v>
      </c>
      <c r="M26" s="80" t="str">
        <f>IF(L26="N/A","N/A",L26*7.48)</f>
        <v>N/A</v>
      </c>
      <c r="N26" s="63">
        <f>F26+J26</f>
        <v>633.33333333333326</v>
      </c>
      <c r="O26" s="63">
        <f>N26*7.48</f>
        <v>4737.333333333333</v>
      </c>
      <c r="P26" s="63" t="str">
        <f>IF('1. Site Drainage Areas'!$C$4="Yes",H26+L26,"N/A")</f>
        <v>N/A</v>
      </c>
      <c r="Q26" s="80" t="str">
        <f>IF(P26="N/A","N/A",P26*7.48)</f>
        <v>N/A</v>
      </c>
    </row>
    <row r="27" spans="2:27" x14ac:dyDescent="0.3">
      <c r="N27" s="3"/>
      <c r="O27" s="3"/>
      <c r="P27" s="3"/>
      <c r="Q27" s="3"/>
    </row>
    <row r="28" spans="2:27" ht="15" thickBot="1" x14ac:dyDescent="0.35"/>
    <row r="29" spans="2:27" ht="15" thickBot="1" x14ac:dyDescent="0.35">
      <c r="B29" s="334" t="s">
        <v>87</v>
      </c>
      <c r="C29" s="335"/>
      <c r="D29" s="335"/>
      <c r="E29" s="335"/>
      <c r="F29" s="335"/>
      <c r="G29" s="335"/>
      <c r="H29" s="335"/>
      <c r="I29" s="335"/>
      <c r="J29" s="335"/>
      <c r="K29" s="335"/>
      <c r="L29" s="335"/>
      <c r="M29" s="336"/>
    </row>
    <row r="30" spans="2:27" ht="15" thickBot="1" x14ac:dyDescent="0.35">
      <c r="B30" s="341" t="s">
        <v>81</v>
      </c>
      <c r="C30" s="342"/>
      <c r="D30" s="343"/>
      <c r="E30" s="329" t="s">
        <v>88</v>
      </c>
      <c r="F30" s="330"/>
      <c r="G30" s="331"/>
      <c r="H30" s="337" t="s">
        <v>89</v>
      </c>
      <c r="I30" s="338"/>
      <c r="J30" s="339"/>
      <c r="K30" s="332" t="s">
        <v>167</v>
      </c>
      <c r="L30" s="333"/>
      <c r="M30" s="340"/>
    </row>
    <row r="31" spans="2:27" ht="43.2" x14ac:dyDescent="0.3">
      <c r="B31" s="8" t="s">
        <v>91</v>
      </c>
      <c r="C31" s="9" t="s">
        <v>92</v>
      </c>
      <c r="D31" s="137" t="s">
        <v>93</v>
      </c>
      <c r="E31" s="8" t="s">
        <v>91</v>
      </c>
      <c r="F31" s="9" t="s">
        <v>92</v>
      </c>
      <c r="G31" s="10" t="s">
        <v>93</v>
      </c>
      <c r="H31" s="8" t="s">
        <v>91</v>
      </c>
      <c r="I31" s="9" t="s">
        <v>92</v>
      </c>
      <c r="J31" s="10" t="s">
        <v>93</v>
      </c>
      <c r="K31" s="8" t="s">
        <v>91</v>
      </c>
      <c r="L31" s="9" t="s">
        <v>92</v>
      </c>
      <c r="M31" s="10" t="s">
        <v>93</v>
      </c>
    </row>
    <row r="32" spans="2:27" ht="15" thickBot="1" x14ac:dyDescent="0.35">
      <c r="B32" s="12" t="s">
        <v>96</v>
      </c>
      <c r="C32" s="13" t="s">
        <v>96</v>
      </c>
      <c r="D32" s="138" t="s">
        <v>96</v>
      </c>
      <c r="E32" s="12" t="s">
        <v>96</v>
      </c>
      <c r="F32" s="13" t="s">
        <v>96</v>
      </c>
      <c r="G32" s="14" t="s">
        <v>96</v>
      </c>
      <c r="H32" s="12" t="s">
        <v>96</v>
      </c>
      <c r="I32" s="13" t="s">
        <v>96</v>
      </c>
      <c r="J32" s="14" t="s">
        <v>96</v>
      </c>
      <c r="K32" s="12" t="s">
        <v>96</v>
      </c>
      <c r="L32" s="13" t="s">
        <v>96</v>
      </c>
      <c r="M32" s="14" t="s">
        <v>96</v>
      </c>
    </row>
    <row r="33" spans="2:16" ht="15" thickBot="1" x14ac:dyDescent="0.35">
      <c r="B33" s="135">
        <f>IFERROR($B$19/$F$19,0)</f>
        <v>0</v>
      </c>
      <c r="C33" s="64">
        <f>IFERROR($C$19/$F$19,0)</f>
        <v>0</v>
      </c>
      <c r="D33" s="139">
        <f>IFERROR(($D$19+$E$19)/$F$19,0)</f>
        <v>0</v>
      </c>
      <c r="E33" s="135">
        <f>IFERROR($I$19/$M$19,0)</f>
        <v>0</v>
      </c>
      <c r="F33" s="64">
        <f>IFERROR($J$19/$M$19,0)</f>
        <v>0</v>
      </c>
      <c r="G33" s="136">
        <f>IFERROR(($K$19+$L$19)/$M$19,0)</f>
        <v>0</v>
      </c>
      <c r="H33" s="135">
        <f>IFERROR($P$19/$T$19,0)</f>
        <v>0</v>
      </c>
      <c r="I33" s="64">
        <f>IFERROR($Q$19/$T$19,0)</f>
        <v>0</v>
      </c>
      <c r="J33" s="136">
        <f>IFERROR(($R$19+$S$19)/$T$19,0)</f>
        <v>1</v>
      </c>
      <c r="K33" s="135">
        <f>IFERROR($P$19/$T$19,0)</f>
        <v>0</v>
      </c>
      <c r="L33" s="64">
        <f>IFERROR($Q$19/$T$19,0)</f>
        <v>0</v>
      </c>
      <c r="M33" s="136">
        <f>IFERROR(($R$19+$S$19)/$T$19,0)</f>
        <v>1</v>
      </c>
    </row>
    <row r="39" spans="2:16" x14ac:dyDescent="0.3">
      <c r="P39" s="4" t="s">
        <v>101</v>
      </c>
    </row>
  </sheetData>
  <mergeCells count="19">
    <mergeCell ref="K30:M30"/>
    <mergeCell ref="B30:D30"/>
    <mergeCell ref="B16:H16"/>
    <mergeCell ref="B15:AA15"/>
    <mergeCell ref="N23:Q23"/>
    <mergeCell ref="E30:G30"/>
    <mergeCell ref="H30:J30"/>
    <mergeCell ref="P16:V16"/>
    <mergeCell ref="I16:O16"/>
    <mergeCell ref="F23:I23"/>
    <mergeCell ref="J23:M23"/>
    <mergeCell ref="B23:E23"/>
    <mergeCell ref="B9:F9"/>
    <mergeCell ref="G9:K9"/>
    <mergeCell ref="W16:AA16"/>
    <mergeCell ref="B29:M29"/>
    <mergeCell ref="L9:P9"/>
    <mergeCell ref="Q9:U9"/>
    <mergeCell ref="B22:Q22"/>
  </mergeCells>
  <pageMargins left="0.7" right="0.7" top="0.75" bottom="0.75" header="0.3" footer="0.3"/>
  <pageSetup orientation="portrait" r:id="rId1"/>
  <ignoredErrors>
    <ignoredError sqref="F12"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307B63-F3A0-4D5A-AA20-E7003E948F78}">
  <sheetPr codeName="Sheet13">
    <tabColor theme="0"/>
  </sheetPr>
  <dimension ref="A1:BJ25"/>
  <sheetViews>
    <sheetView zoomScaleNormal="100" workbookViewId="0">
      <pane xSplit="5" ySplit="7" topLeftCell="M8" activePane="bottomRight" state="frozen"/>
      <selection pane="topRight" activeCell="D1" sqref="D1"/>
      <selection pane="bottomLeft" activeCell="A7" sqref="A7"/>
      <selection pane="bottomRight" activeCell="AB10" sqref="AB10"/>
    </sheetView>
  </sheetViews>
  <sheetFormatPr defaultColWidth="8.88671875" defaultRowHeight="14.4" x14ac:dyDescent="0.3"/>
  <cols>
    <col min="1" max="1" width="8.88671875" style="7"/>
    <col min="2" max="2" width="10.33203125" style="7" customWidth="1"/>
    <col min="3" max="3" width="10" style="7" customWidth="1"/>
    <col min="4" max="4" width="15.6640625" style="7" customWidth="1"/>
    <col min="5" max="15" width="14.6640625" style="7" customWidth="1"/>
    <col min="16" max="18" width="12.6640625" style="7" customWidth="1"/>
    <col min="19" max="19" width="20.5546875" style="7" bestFit="1" customWidth="1"/>
    <col min="20" max="20" width="12.6640625" style="7" customWidth="1"/>
    <col min="21" max="21" width="13.33203125" style="7" bestFit="1" customWidth="1"/>
    <col min="22" max="22" width="9.33203125" style="7" hidden="1" customWidth="1"/>
    <col min="23" max="24" width="12.6640625" style="7" hidden="1" customWidth="1"/>
    <col min="25" max="25" width="10.6640625" style="26" customWidth="1"/>
    <col min="26" max="28" width="12.6640625" style="7" customWidth="1"/>
    <col min="29" max="29" width="22.33203125" style="7" customWidth="1"/>
    <col min="30" max="30" width="12.6640625" style="7" customWidth="1"/>
    <col min="31" max="31" width="13.33203125" style="7" bestFit="1" customWidth="1"/>
    <col min="32" max="32" width="9.33203125" style="7" hidden="1" customWidth="1"/>
    <col min="33" max="34" width="12.6640625" style="7" hidden="1" customWidth="1"/>
    <col min="35" max="35" width="11" style="26" customWidth="1"/>
    <col min="36" max="36" width="13.88671875" style="7" bestFit="1" customWidth="1"/>
    <col min="37" max="37" width="16.6640625" style="7" customWidth="1"/>
    <col min="38" max="38" width="12.33203125" style="7" customWidth="1"/>
    <col min="39" max="42" width="12.5546875" style="7" hidden="1" customWidth="1"/>
    <col min="43" max="43" width="21" style="7" hidden="1" customWidth="1"/>
    <col min="44" max="44" width="12.44140625" style="7" customWidth="1"/>
    <col min="45" max="47" width="12.6640625" style="7" customWidth="1"/>
    <col min="48" max="48" width="12.6640625" style="7" hidden="1" customWidth="1"/>
    <col min="49" max="49" width="81" style="7" customWidth="1"/>
    <col min="50" max="50" width="15.33203125" style="7" bestFit="1" customWidth="1"/>
    <col min="51" max="51" width="22.109375" style="7" customWidth="1"/>
    <col min="52" max="52" width="10" style="7" bestFit="1" customWidth="1"/>
    <col min="53" max="53" width="17.44140625" style="7" bestFit="1" customWidth="1"/>
    <col min="54" max="55" width="12.33203125" style="7" bestFit="1" customWidth="1"/>
    <col min="56" max="56" width="18.33203125" style="7" bestFit="1" customWidth="1"/>
    <col min="57" max="57" width="10.21875" style="7" customWidth="1"/>
    <col min="58" max="58" width="13.33203125" style="7" customWidth="1"/>
    <col min="59" max="59" width="14.44140625" style="7" customWidth="1"/>
    <col min="60" max="62" width="22.5546875" style="7" customWidth="1"/>
    <col min="63" max="16384" width="8.88671875" style="7"/>
  </cols>
  <sheetData>
    <row r="1" spans="1:62" ht="18.600000000000001" thickBot="1" x14ac:dyDescent="0.35">
      <c r="A1" s="344" t="s">
        <v>72</v>
      </c>
      <c r="B1" s="345"/>
      <c r="C1" s="345"/>
      <c r="D1" s="346"/>
    </row>
    <row r="2" spans="1:62" ht="58.2" thickBot="1" x14ac:dyDescent="0.35">
      <c r="A2" s="8" t="s">
        <v>73</v>
      </c>
      <c r="B2" s="9" t="s">
        <v>74</v>
      </c>
      <c r="C2" s="9" t="s">
        <v>75</v>
      </c>
      <c r="D2" s="78" t="s">
        <v>76</v>
      </c>
      <c r="P2" s="6"/>
      <c r="Q2" s="6"/>
      <c r="R2" s="6"/>
      <c r="AY2" s="6"/>
      <c r="BB2" s="6"/>
      <c r="BC2" s="6"/>
      <c r="BD2" s="6"/>
      <c r="BE2" s="6"/>
      <c r="BH2" s="6"/>
      <c r="BI2" s="6"/>
      <c r="BJ2" s="6"/>
    </row>
    <row r="3" spans="1:62" s="17" customFormat="1" ht="15" thickBot="1" x14ac:dyDescent="0.35">
      <c r="A3" s="12"/>
      <c r="B3" s="13" t="s">
        <v>77</v>
      </c>
      <c r="C3" s="13" t="s">
        <v>71</v>
      </c>
      <c r="D3" s="79" t="s">
        <v>79</v>
      </c>
      <c r="E3" s="16"/>
      <c r="F3" s="368" t="s">
        <v>102</v>
      </c>
      <c r="G3" s="369"/>
      <c r="H3" s="369"/>
      <c r="I3" s="369"/>
      <c r="J3" s="369"/>
      <c r="K3" s="369"/>
      <c r="L3" s="369"/>
      <c r="M3" s="369"/>
      <c r="N3" s="369"/>
      <c r="O3" s="369"/>
      <c r="P3" s="370" t="s">
        <v>103</v>
      </c>
      <c r="Q3" s="370"/>
      <c r="R3" s="370"/>
      <c r="S3" s="370"/>
      <c r="T3" s="370"/>
      <c r="U3" s="370"/>
      <c r="V3" s="370"/>
      <c r="W3" s="370"/>
      <c r="X3" s="370"/>
      <c r="Y3" s="370"/>
      <c r="Z3" s="370"/>
      <c r="AA3" s="370"/>
      <c r="AB3" s="370"/>
      <c r="AC3" s="370"/>
      <c r="AD3" s="370"/>
      <c r="AE3" s="370"/>
      <c r="AF3" s="370"/>
      <c r="AG3" s="370"/>
      <c r="AH3" s="370"/>
      <c r="AI3" s="370"/>
      <c r="AJ3" s="370"/>
      <c r="AK3" s="370"/>
      <c r="AL3" s="370"/>
      <c r="AM3" s="370"/>
      <c r="AN3" s="370"/>
      <c r="AO3" s="370"/>
      <c r="AP3" s="370"/>
      <c r="AQ3" s="370"/>
      <c r="AR3" s="347" t="s">
        <v>104</v>
      </c>
      <c r="AS3" s="348"/>
      <c r="AT3" s="348"/>
      <c r="AU3" s="348"/>
      <c r="AV3" s="348"/>
      <c r="AW3" s="348"/>
      <c r="AX3" s="348"/>
      <c r="AY3" s="348"/>
      <c r="AZ3" s="348"/>
      <c r="BA3" s="348"/>
      <c r="BB3" s="348"/>
      <c r="BC3" s="348"/>
      <c r="BD3" s="349"/>
      <c r="BE3" s="113"/>
      <c r="BF3" s="113"/>
      <c r="BG3" s="113"/>
      <c r="BH3" s="113"/>
      <c r="BI3" s="113"/>
      <c r="BJ3" s="113"/>
    </row>
    <row r="4" spans="1:62" s="17" customFormat="1" ht="15" thickBot="1" x14ac:dyDescent="0.35">
      <c r="A4" s="151"/>
      <c r="B4" s="152"/>
      <c r="C4" s="153"/>
      <c r="D4" s="154"/>
      <c r="E4" s="16"/>
      <c r="F4" s="356" t="s">
        <v>105</v>
      </c>
      <c r="G4" s="357"/>
      <c r="H4" s="357"/>
      <c r="I4" s="357"/>
      <c r="J4" s="358"/>
      <c r="K4" s="362" t="s">
        <v>106</v>
      </c>
      <c r="L4" s="363"/>
      <c r="M4" s="363"/>
      <c r="N4" s="363"/>
      <c r="O4" s="364"/>
      <c r="P4" s="356" t="s">
        <v>105</v>
      </c>
      <c r="Q4" s="357"/>
      <c r="R4" s="357"/>
      <c r="S4" s="357"/>
      <c r="T4" s="357"/>
      <c r="U4" s="357"/>
      <c r="V4" s="357"/>
      <c r="W4" s="357"/>
      <c r="X4" s="357"/>
      <c r="Y4" s="358"/>
      <c r="Z4" s="377" t="s">
        <v>106</v>
      </c>
      <c r="AA4" s="377"/>
      <c r="AB4" s="377"/>
      <c r="AC4" s="377"/>
      <c r="AD4" s="377"/>
      <c r="AE4" s="377"/>
      <c r="AF4" s="377"/>
      <c r="AG4" s="377"/>
      <c r="AH4" s="377"/>
      <c r="AI4" s="378"/>
      <c r="AJ4" s="381" t="s">
        <v>107</v>
      </c>
      <c r="AK4" s="382"/>
      <c r="AL4" s="383"/>
      <c r="AM4" s="362" t="s">
        <v>108</v>
      </c>
      <c r="AN4" s="363"/>
      <c r="AO4" s="363"/>
      <c r="AP4" s="363"/>
      <c r="AQ4" s="364"/>
      <c r="AR4" s="350"/>
      <c r="AS4" s="351"/>
      <c r="AT4" s="351"/>
      <c r="AU4" s="351"/>
      <c r="AV4" s="351"/>
      <c r="AW4" s="351"/>
      <c r="AX4" s="351"/>
      <c r="AY4" s="351"/>
      <c r="AZ4" s="351"/>
      <c r="BA4" s="351"/>
      <c r="BB4" s="351"/>
      <c r="BC4" s="351"/>
      <c r="BD4" s="352"/>
      <c r="BE4" s="113"/>
      <c r="BF4" s="113"/>
      <c r="BG4" s="113"/>
      <c r="BH4" s="113"/>
      <c r="BI4" s="113"/>
      <c r="BJ4" s="113"/>
    </row>
    <row r="5" spans="1:62" s="17" customFormat="1" ht="15" thickBot="1" x14ac:dyDescent="0.35">
      <c r="F5" s="359"/>
      <c r="G5" s="360"/>
      <c r="H5" s="360"/>
      <c r="I5" s="360"/>
      <c r="J5" s="361"/>
      <c r="K5" s="365"/>
      <c r="L5" s="366"/>
      <c r="M5" s="366"/>
      <c r="N5" s="366"/>
      <c r="O5" s="367"/>
      <c r="P5" s="374"/>
      <c r="Q5" s="375"/>
      <c r="R5" s="375"/>
      <c r="S5" s="375"/>
      <c r="T5" s="375"/>
      <c r="U5" s="375"/>
      <c r="V5" s="375"/>
      <c r="W5" s="375"/>
      <c r="X5" s="375"/>
      <c r="Y5" s="376"/>
      <c r="Z5" s="379"/>
      <c r="AA5" s="379"/>
      <c r="AB5" s="379"/>
      <c r="AC5" s="379"/>
      <c r="AD5" s="379"/>
      <c r="AE5" s="379"/>
      <c r="AF5" s="379"/>
      <c r="AG5" s="379"/>
      <c r="AH5" s="379"/>
      <c r="AI5" s="380"/>
      <c r="AJ5" s="384"/>
      <c r="AK5" s="385"/>
      <c r="AL5" s="386"/>
      <c r="AM5" s="371"/>
      <c r="AN5" s="372"/>
      <c r="AO5" s="372"/>
      <c r="AP5" s="372"/>
      <c r="AQ5" s="373"/>
      <c r="AR5" s="353"/>
      <c r="AS5" s="354"/>
      <c r="AT5" s="354"/>
      <c r="AU5" s="354"/>
      <c r="AV5" s="354"/>
      <c r="AW5" s="354"/>
      <c r="AX5" s="354"/>
      <c r="AY5" s="354"/>
      <c r="AZ5" s="354"/>
      <c r="BA5" s="354"/>
      <c r="BB5" s="354"/>
      <c r="BC5" s="354"/>
      <c r="BD5" s="355"/>
      <c r="BE5" s="113"/>
      <c r="BF5" s="113"/>
      <c r="BG5" s="113"/>
      <c r="BH5" s="113"/>
      <c r="BI5" s="113"/>
      <c r="BJ5" s="113"/>
    </row>
    <row r="6" spans="1:62" s="37" customFormat="1" ht="69" customHeight="1" x14ac:dyDescent="0.3">
      <c r="D6" s="119" t="s">
        <v>233</v>
      </c>
      <c r="E6" s="31" t="s">
        <v>109</v>
      </c>
      <c r="F6" s="32" t="s">
        <v>82</v>
      </c>
      <c r="G6" s="33" t="s">
        <v>83</v>
      </c>
      <c r="H6" s="33" t="s">
        <v>84</v>
      </c>
      <c r="I6" s="33" t="s">
        <v>85</v>
      </c>
      <c r="J6" s="34" t="s">
        <v>110</v>
      </c>
      <c r="K6" s="32" t="s">
        <v>82</v>
      </c>
      <c r="L6" s="33" t="s">
        <v>83</v>
      </c>
      <c r="M6" s="33" t="s">
        <v>84</v>
      </c>
      <c r="N6" s="33" t="s">
        <v>85</v>
      </c>
      <c r="O6" s="34" t="s">
        <v>110</v>
      </c>
      <c r="P6" s="32" t="s">
        <v>82</v>
      </c>
      <c r="Q6" s="33" t="s">
        <v>83</v>
      </c>
      <c r="R6" s="33" t="s">
        <v>84</v>
      </c>
      <c r="S6" s="33" t="s">
        <v>111</v>
      </c>
      <c r="T6" s="33" t="s">
        <v>85</v>
      </c>
      <c r="U6" s="33" t="s">
        <v>110</v>
      </c>
      <c r="V6" s="33" t="s">
        <v>91</v>
      </c>
      <c r="W6" s="33" t="s">
        <v>92</v>
      </c>
      <c r="X6" s="33" t="s">
        <v>93</v>
      </c>
      <c r="Y6" s="35" t="s">
        <v>94</v>
      </c>
      <c r="Z6" s="36" t="s">
        <v>82</v>
      </c>
      <c r="AA6" s="33" t="s">
        <v>83</v>
      </c>
      <c r="AB6" s="33" t="s">
        <v>84</v>
      </c>
      <c r="AC6" s="33" t="s">
        <v>111</v>
      </c>
      <c r="AD6" s="33" t="s">
        <v>85</v>
      </c>
      <c r="AE6" s="33" t="s">
        <v>110</v>
      </c>
      <c r="AF6" s="33" t="s">
        <v>91</v>
      </c>
      <c r="AG6" s="33" t="s">
        <v>92</v>
      </c>
      <c r="AH6" s="33" t="s">
        <v>93</v>
      </c>
      <c r="AI6" s="35" t="s">
        <v>94</v>
      </c>
      <c r="AJ6" s="36" t="s">
        <v>98</v>
      </c>
      <c r="AK6" s="33" t="s">
        <v>99</v>
      </c>
      <c r="AL6" s="34" t="s">
        <v>112</v>
      </c>
      <c r="AM6" s="36" t="s">
        <v>82</v>
      </c>
      <c r="AN6" s="33" t="s">
        <v>83</v>
      </c>
      <c r="AO6" s="33" t="s">
        <v>84</v>
      </c>
      <c r="AP6" s="33" t="s">
        <v>85</v>
      </c>
      <c r="AQ6" s="34" t="s">
        <v>251</v>
      </c>
      <c r="AR6" s="36" t="s">
        <v>114</v>
      </c>
      <c r="AS6" s="33" t="s">
        <v>115</v>
      </c>
      <c r="AT6" s="33" t="s">
        <v>116</v>
      </c>
      <c r="AU6" s="33" t="s">
        <v>117</v>
      </c>
      <c r="AV6" s="33" t="s">
        <v>118</v>
      </c>
      <c r="AW6" s="33" t="s">
        <v>119</v>
      </c>
      <c r="AX6" s="33" t="s">
        <v>120</v>
      </c>
      <c r="AY6" s="33" t="s">
        <v>121</v>
      </c>
      <c r="AZ6" s="33" t="s">
        <v>252</v>
      </c>
      <c r="BA6" s="33" t="s">
        <v>122</v>
      </c>
      <c r="BB6" s="33" t="s">
        <v>306</v>
      </c>
      <c r="BC6" s="33" t="s">
        <v>123</v>
      </c>
      <c r="BD6" s="34" t="s">
        <v>124</v>
      </c>
      <c r="BE6" s="58"/>
      <c r="BF6" s="33" t="s">
        <v>115</v>
      </c>
      <c r="BG6" s="33" t="s">
        <v>115</v>
      </c>
      <c r="BH6" s="146" t="s">
        <v>125</v>
      </c>
      <c r="BI6" s="114"/>
      <c r="BJ6" s="114"/>
    </row>
    <row r="7" spans="1:62" s="17" customFormat="1" ht="15" thickBot="1" x14ac:dyDescent="0.35">
      <c r="D7" s="38" t="s">
        <v>234</v>
      </c>
      <c r="E7" s="38" t="s">
        <v>126</v>
      </c>
      <c r="F7" s="186" t="s">
        <v>86</v>
      </c>
      <c r="G7" s="187" t="s">
        <v>86</v>
      </c>
      <c r="H7" s="187" t="s">
        <v>86</v>
      </c>
      <c r="I7" s="40" t="s">
        <v>86</v>
      </c>
      <c r="J7" s="41" t="s">
        <v>86</v>
      </c>
      <c r="K7" s="39" t="s">
        <v>86</v>
      </c>
      <c r="L7" s="40" t="s">
        <v>86</v>
      </c>
      <c r="M7" s="40" t="s">
        <v>86</v>
      </c>
      <c r="N7" s="40" t="s">
        <v>86</v>
      </c>
      <c r="O7" s="41" t="s">
        <v>86</v>
      </c>
      <c r="P7" s="39" t="s">
        <v>86</v>
      </c>
      <c r="Q7" s="40" t="s">
        <v>86</v>
      </c>
      <c r="R7" s="40" t="s">
        <v>86</v>
      </c>
      <c r="S7" s="40" t="s">
        <v>86</v>
      </c>
      <c r="T7" s="40" t="s">
        <v>86</v>
      </c>
      <c r="U7" s="40" t="s">
        <v>86</v>
      </c>
      <c r="V7" s="40" t="s">
        <v>96</v>
      </c>
      <c r="W7" s="40" t="s">
        <v>96</v>
      </c>
      <c r="X7" s="40" t="s">
        <v>96</v>
      </c>
      <c r="Y7" s="42"/>
      <c r="Z7" s="43" t="s">
        <v>86</v>
      </c>
      <c r="AA7" s="40" t="s">
        <v>86</v>
      </c>
      <c r="AB7" s="40" t="s">
        <v>86</v>
      </c>
      <c r="AC7" s="40" t="s">
        <v>86</v>
      </c>
      <c r="AD7" s="40" t="s">
        <v>86</v>
      </c>
      <c r="AE7" s="40" t="s">
        <v>86</v>
      </c>
      <c r="AF7" s="40" t="s">
        <v>96</v>
      </c>
      <c r="AG7" s="40" t="s">
        <v>96</v>
      </c>
      <c r="AH7" s="40" t="s">
        <v>96</v>
      </c>
      <c r="AI7" s="42"/>
      <c r="AJ7" s="43" t="s">
        <v>55</v>
      </c>
      <c r="AK7" s="40" t="s">
        <v>55</v>
      </c>
      <c r="AL7" s="41" t="s">
        <v>55</v>
      </c>
      <c r="AM7" s="43" t="s">
        <v>86</v>
      </c>
      <c r="AN7" s="40" t="s">
        <v>86</v>
      </c>
      <c r="AO7" s="40" t="s">
        <v>86</v>
      </c>
      <c r="AP7" s="40" t="s">
        <v>86</v>
      </c>
      <c r="AQ7" s="41" t="s">
        <v>55</v>
      </c>
      <c r="AR7" s="43" t="s">
        <v>55</v>
      </c>
      <c r="AS7" s="40" t="s">
        <v>55</v>
      </c>
      <c r="AT7" s="40" t="s">
        <v>55</v>
      </c>
      <c r="AU7" s="40" t="s">
        <v>55</v>
      </c>
      <c r="AV7" s="40" t="s">
        <v>63</v>
      </c>
      <c r="AW7" s="40"/>
      <c r="AX7" s="40" t="s">
        <v>78</v>
      </c>
      <c r="AY7" s="40" t="s">
        <v>78</v>
      </c>
      <c r="AZ7" s="40" t="s">
        <v>78</v>
      </c>
      <c r="BA7" s="40" t="s">
        <v>55</v>
      </c>
      <c r="BB7" s="40" t="s">
        <v>78</v>
      </c>
      <c r="BC7" s="40" t="s">
        <v>55</v>
      </c>
      <c r="BD7" s="148" t="s">
        <v>78</v>
      </c>
      <c r="BE7" s="59"/>
      <c r="BF7" s="40" t="s">
        <v>55</v>
      </c>
      <c r="BG7" s="40" t="s">
        <v>63</v>
      </c>
      <c r="BH7" s="147" t="s">
        <v>63</v>
      </c>
      <c r="BI7" s="115"/>
      <c r="BJ7" s="115"/>
    </row>
    <row r="8" spans="1:62" s="52" customFormat="1" x14ac:dyDescent="0.3">
      <c r="D8" s="30" t="s">
        <v>167</v>
      </c>
      <c r="E8" s="185" t="s">
        <v>172</v>
      </c>
      <c r="F8" s="69">
        <f>SUM(F9:F25)</f>
        <v>0</v>
      </c>
      <c r="G8" s="69">
        <f t="shared" ref="G8:I8" si="0">SUM(G9:G25)</f>
        <v>0</v>
      </c>
      <c r="H8" s="69">
        <f t="shared" si="0"/>
        <v>0</v>
      </c>
      <c r="I8" s="69">
        <f t="shared" si="0"/>
        <v>0</v>
      </c>
      <c r="J8" s="67">
        <f>SUM(F8:I8)</f>
        <v>0</v>
      </c>
      <c r="K8" s="69">
        <f t="shared" ref="K8:N8" si="1">SUM(K9:K25)</f>
        <v>0</v>
      </c>
      <c r="L8" s="69">
        <f t="shared" si="1"/>
        <v>10000</v>
      </c>
      <c r="M8" s="69">
        <f t="shared" si="1"/>
        <v>0</v>
      </c>
      <c r="N8" s="69">
        <f t="shared" si="1"/>
        <v>0</v>
      </c>
      <c r="O8" s="66">
        <f>SUM(K8:N8)</f>
        <v>10000</v>
      </c>
      <c r="P8" s="69">
        <f t="shared" ref="P8:T8" si="2">SUM(P9:P25)</f>
        <v>0</v>
      </c>
      <c r="Q8" s="69">
        <f t="shared" si="2"/>
        <v>0</v>
      </c>
      <c r="R8" s="69">
        <f t="shared" si="2"/>
        <v>0</v>
      </c>
      <c r="S8" s="69">
        <f t="shared" si="2"/>
        <v>0</v>
      </c>
      <c r="T8" s="69">
        <f t="shared" si="2"/>
        <v>0</v>
      </c>
      <c r="U8" s="68">
        <f>SUM(P8:T8)-S8</f>
        <v>0</v>
      </c>
      <c r="V8" s="50">
        <f t="shared" ref="V8:V25" si="3">IFERROR(P8/$U8,0)</f>
        <v>0</v>
      </c>
      <c r="W8" s="50">
        <f t="shared" ref="W8:W25" si="4">IFERROR(Q8/$U8,0)</f>
        <v>0</v>
      </c>
      <c r="X8" s="50">
        <f t="shared" ref="X8:X25" si="5">IFERROR((R8+T8)/$U8,0)</f>
        <v>0</v>
      </c>
      <c r="Y8" s="51">
        <f>(V8*0+W8*0.25+X8*0.95)</f>
        <v>0</v>
      </c>
      <c r="Z8" s="69">
        <f t="shared" ref="Z8" si="6">SUM(Z9:Z25)</f>
        <v>0</v>
      </c>
      <c r="AA8" s="69">
        <f t="shared" ref="AA8" si="7">SUM(AA9:AA25)</f>
        <v>0</v>
      </c>
      <c r="AB8" s="69">
        <f t="shared" ref="AB8" si="8">SUM(AB9:AB25)</f>
        <v>10000</v>
      </c>
      <c r="AC8" s="69">
        <f t="shared" ref="AC8" si="9">SUM(AC9:AC25)</f>
        <v>0</v>
      </c>
      <c r="AD8" s="69">
        <f t="shared" ref="AD8" si="10">SUM(AD9:AD25)</f>
        <v>0</v>
      </c>
      <c r="AE8" s="221">
        <f>SUM(Z8:AD8)-AC8</f>
        <v>10000</v>
      </c>
      <c r="AF8" s="50">
        <f>IFERROR(Z8/$AE8,0)</f>
        <v>0</v>
      </c>
      <c r="AG8" s="50">
        <f>IFERROR(AA8/$AE8,0)</f>
        <v>0</v>
      </c>
      <c r="AH8" s="50">
        <f>IFERROR((AB8+AD8)/$AE8,0)</f>
        <v>1</v>
      </c>
      <c r="AI8" s="51">
        <f>0*AF8+0.25*AG8+0.95*AH8</f>
        <v>0.95</v>
      </c>
      <c r="AJ8" s="87">
        <f t="shared" ref="AJ8:AT8" si="11">SUM(AJ9:AJ25)</f>
        <v>633.33333333333326</v>
      </c>
      <c r="AK8" s="87">
        <f t="shared" si="11"/>
        <v>0</v>
      </c>
      <c r="AL8" s="87">
        <f t="shared" si="11"/>
        <v>0</v>
      </c>
      <c r="AM8" s="87">
        <f t="shared" si="11"/>
        <v>0</v>
      </c>
      <c r="AN8" s="87">
        <f t="shared" si="11"/>
        <v>0</v>
      </c>
      <c r="AO8" s="87">
        <f t="shared" si="11"/>
        <v>0</v>
      </c>
      <c r="AP8" s="87">
        <f t="shared" si="11"/>
        <v>0</v>
      </c>
      <c r="AQ8" s="87">
        <f t="shared" si="11"/>
        <v>0</v>
      </c>
      <c r="AR8" s="87">
        <f t="shared" si="11"/>
        <v>0</v>
      </c>
      <c r="AS8" s="87">
        <f t="shared" si="11"/>
        <v>0</v>
      </c>
      <c r="AT8" s="87">
        <f t="shared" si="11"/>
        <v>0</v>
      </c>
      <c r="AU8" s="68">
        <f>IF(AJ8-AS8&gt;0,AJ8-AS8,0)</f>
        <v>633.33333333333326</v>
      </c>
      <c r="AV8" s="68">
        <f>7.48*AU8</f>
        <v>4737.333333333333</v>
      </c>
      <c r="AW8" s="49" t="str">
        <f>IFERROR(IF(AND(E8="Yes",AV8&lt;&gt;0),"Follow DOEE MEP Procedure",IF('1. Site Drainage Areas'!$C$4="No",IF(AV8=0,"Required SWRv exceeded by "&amp;ROUND((AS8-AJ8)*7.48,0)&amp;" gallons which may be able to be used to generate SRCs.","Off Site Retention may be needed."), IF(AV8=0,"Required SWRv exceeded by "&amp;ROUND((AS8-AJ8)*7.48,0)&amp;" gallons which contributes to meeting WQTv requirements.","Off Site Retention may be needed."))),"")</f>
        <v>Off Site Retention may be needed.</v>
      </c>
      <c r="AX8" s="49" t="str">
        <f>IFERROR(IF(AS8&gt;=0.5*AJ8,"Yes", "No"),"")</f>
        <v>No</v>
      </c>
      <c r="AY8" s="49" t="str">
        <f>IF(COUNTIF(AY9:AY25,"No")&gt;0,"No","Yes")</f>
        <v>Yes</v>
      </c>
      <c r="AZ8" s="49" t="s">
        <v>172</v>
      </c>
      <c r="BA8" s="68" t="s">
        <v>172</v>
      </c>
      <c r="BB8" s="49" t="str">
        <f>IF(COUNTIF(BB9:BB25,"No")&gt;0,"No","Yes")</f>
        <v>Yes</v>
      </c>
      <c r="BC8" s="69" t="str">
        <f>IF(D8="","",IF(BB8="No",AJ8+AK8-AS8-AT8,"N/A"))</f>
        <v>N/A</v>
      </c>
      <c r="BD8" s="49" t="str">
        <f>IF(COUNTIF(BD9:BD25,"No")&gt;0,"No","Yes")</f>
        <v>Yes</v>
      </c>
      <c r="BE8" s="150"/>
      <c r="BF8" s="68">
        <f>SUM(BF9:BF25)</f>
        <v>0</v>
      </c>
      <c r="BG8" s="68">
        <f>7.48*BF8</f>
        <v>0</v>
      </c>
      <c r="BH8" s="53" t="str">
        <f>IF('1. Site Drainage Areas'!$C$4="No",IF(AV8=0,ROUND((AS8-AJ8)*7.48,0),0),"N/A")</f>
        <v>N/A</v>
      </c>
      <c r="BI8" s="116"/>
      <c r="BJ8" s="116"/>
    </row>
    <row r="9" spans="1:62" s="52" customFormat="1" x14ac:dyDescent="0.3">
      <c r="D9" s="155">
        <v>1</v>
      </c>
      <c r="E9" s="156" t="s">
        <v>169</v>
      </c>
      <c r="F9" s="157"/>
      <c r="G9" s="158"/>
      <c r="H9" s="158"/>
      <c r="I9" s="158"/>
      <c r="J9" s="67">
        <f>IF(D9="","",(SUM(F9:I9)))</f>
        <v>0</v>
      </c>
      <c r="K9" s="157"/>
      <c r="L9" s="158">
        <v>10000</v>
      </c>
      <c r="M9" s="158"/>
      <c r="N9" s="158"/>
      <c r="O9" s="67">
        <f>IF(D9="","",(SUM(K9:N9)))</f>
        <v>10000</v>
      </c>
      <c r="P9" s="157"/>
      <c r="Q9" s="158"/>
      <c r="R9" s="158"/>
      <c r="S9" s="158"/>
      <c r="T9" s="158"/>
      <c r="U9" s="69">
        <f t="shared" ref="U9:U25" si="12">IF(D9="","",(SUM(P9:T9)-S9))</f>
        <v>0</v>
      </c>
      <c r="V9" s="55">
        <f t="shared" si="3"/>
        <v>0</v>
      </c>
      <c r="W9" s="55">
        <f t="shared" si="4"/>
        <v>0</v>
      </c>
      <c r="X9" s="55">
        <f t="shared" si="5"/>
        <v>0</v>
      </c>
      <c r="Y9" s="54">
        <f t="shared" ref="Y9:Y25" si="13">IF(D9="","",((V9*0+W9*0.25+X9*0.95)))</f>
        <v>0</v>
      </c>
      <c r="Z9" s="157"/>
      <c r="AA9" s="158"/>
      <c r="AB9" s="158">
        <v>10000</v>
      </c>
      <c r="AC9" s="158"/>
      <c r="AD9" s="158"/>
      <c r="AE9" s="69">
        <f t="shared" ref="AE9:AE25" si="14">IF(D9="","",(SUM(Z9:AD9)-AC9))</f>
        <v>10000</v>
      </c>
      <c r="AF9" s="55">
        <f t="shared" ref="AF9:AF25" si="15">IFERROR(Z9/$AE9,0)</f>
        <v>0</v>
      </c>
      <c r="AG9" s="55">
        <f t="shared" ref="AG9:AG25" si="16">IFERROR(AA9/$AE9,0)</f>
        <v>0</v>
      </c>
      <c r="AH9" s="55">
        <f t="shared" ref="AH9:AH25" si="17">IFERROR((AB9+AD9)/$AE9,0)</f>
        <v>1</v>
      </c>
      <c r="AI9" s="88">
        <f t="shared" ref="AI9:AI25" si="18">IF(D9="","",(0*AF9+0.25*AG9+0.95*AH9))</f>
        <v>0.95</v>
      </c>
      <c r="AJ9" s="87">
        <f>IF(D9="","",('Site Data'!$N$19/12*U9*Y9+'Site Data'!$U$19/12*AE9*AI9))</f>
        <v>633.33333333333326</v>
      </c>
      <c r="AK9" s="69" t="str">
        <f>IF(D9="","",(IF('1. Site Drainage Areas'!$C$4="Yes",1.7/12*(U9*Y9+AE9*AI9)-AJ9,"N/A")))</f>
        <v>N/A</v>
      </c>
      <c r="AL9" s="66">
        <f>IF(D9="","",IF(OR('1. Site Drainage Areas'!$D$4="Tidal MS4",'1. Site Drainage Areas'!$D$4="Non-tidal MS4"),IF(E9="yes",0,('Site Data'!$N$19/12*S9*0.95+'Site Data'!$U$19/12*AC9*0.95)),0))</f>
        <v>0</v>
      </c>
      <c r="AM9" s="89">
        <f>IF(D9="","",SUMIF('2. BMP Data'!$C$7:$C$55,$D9,'2. BMP Data'!J$7:J$55))</f>
        <v>0</v>
      </c>
      <c r="AN9" s="69">
        <f>IF(D9="","",SUMIF('2. BMP Data'!$C$7:$C$55,$D9,'2. BMP Data'!K$7:K$55))</f>
        <v>0</v>
      </c>
      <c r="AO9" s="69">
        <f>IF(D9="","",SUMIF('2. BMP Data'!$C$7:$C$55,$D9,'2. BMP Data'!L$7:L$55))</f>
        <v>0</v>
      </c>
      <c r="AP9" s="69">
        <f>IF(D9="","",SUMIF('2. BMP Data'!$C$7:$C$55,$D9,'2. BMP Data'!M$7:M$55))</f>
        <v>0</v>
      </c>
      <c r="AQ9" s="67">
        <f>IF(D9="","",SUMIF('2. BMP Data'!$C$7:$C$55,$D9,'2. BMP Data'!P$7:P$55))</f>
        <v>0</v>
      </c>
      <c r="AR9" s="68">
        <f>IF(D9="","",SUMIF('2. BMP Data'!$C$7:$C$55,$D9,'2. BMP Data'!S$7:S$55))</f>
        <v>0</v>
      </c>
      <c r="AS9" s="68">
        <f>IF(D9="","",SUMIF('2. BMP Data'!$C$7:$C$55,$D9,'2. BMP Data'!T$7:T$55))</f>
        <v>0</v>
      </c>
      <c r="AT9" s="69">
        <f>IF(D9="","",SUMIF('2. BMP Data'!$C$7:$C$55,$D9,'2. BMP Data'!V$7:V$55))</f>
        <v>0</v>
      </c>
      <c r="AU9" s="69">
        <f t="shared" ref="AU9:AU25" si="19">IF(D9="","",IF(AJ9-AS9&gt;0,AJ9-AS9,0))</f>
        <v>633.33333333333326</v>
      </c>
      <c r="AV9" s="69">
        <f t="shared" ref="AV9:AV25" si="20">IF(D9="","",7.48*AU9)</f>
        <v>4737.333333333333</v>
      </c>
      <c r="AW9" s="49" t="str">
        <f>IF(D9="","",(IF(AND(E9="Yes",AV9&lt;&gt;0),"Follow DOEE MEP Procedure",IF('1. Site Drainage Areas'!$C$4="No",IF(AV9=0,"Required SWRv exceeded by "&amp;ROUND((AS9-AJ9)*7.48,0)&amp;" gallons which may be able to be used to generate SRCs.","Off Site Retention may be needed."), IF(AV9=0,"Required SWRv exceeded by "&amp;ROUND((AS9-AJ9)*7.48,0)&amp;" gallons which contributes to meeting WQTv requirements.","Off Site Retention may be needed.")))))</f>
        <v>Off Site Retention may be needed.</v>
      </c>
      <c r="AX9" s="49" t="str">
        <f>IF(D9="","",(IF(OR('1. Site Drainage Areas'!$D$4="Tidal MS4",'1. Site Drainage Areas'!$D$4="Non-tidal MS4"),IF(AS9&gt;=0.5*AJ9,"Yes", "No"),"N/A")))</f>
        <v>N/A</v>
      </c>
      <c r="AY9" s="49" t="str">
        <f>IF(D9="","",IF(AL9&gt;0,IF(AND(SUMIF('2. BMP Data'!$C$7:$C$55,'1. Site Drainage Areas'!D9,'2. BMP Data'!$N$7:$N$55)&gt;='1. Site Drainage Areas'!S9+'1. Site Drainage Areas'!AC9,COUNTIFS('2. BMP Data'!$C$7:$C$55,'1. Site Drainage Areas'!D9,'2. BMP Data'!$Y$7:$Y$55,"No")=0),"Yes","No"),"N/A"))</f>
        <v>N/A</v>
      </c>
      <c r="AZ9" s="53" t="str">
        <f>IF(D9="","",IF(AND('1. Site Drainage Areas'!$D$4&lt;&gt;"Tidal MS4",'1. Site Drainage Areas'!$D$4&lt;&gt;"Non-tidal MS4"),"No",IF(AX9="Yes","No","Yes")))</f>
        <v>No</v>
      </c>
      <c r="BA9" s="69">
        <f t="shared" ref="BA9:BA25" si="21">IF(D9="","",IF(AZ9="Yes",IF(AJ9*0.5-AT9-AS9&gt;0,AJ9*0.5-AT9-AS9,0),0))</f>
        <v>0</v>
      </c>
      <c r="BB9" s="57" t="str">
        <f>IF(D9="","",IF('1. Site Drainage Areas'!$C$4="Yes",IF(AS9+AT9&gt;=AJ9+AK9,"Yes","No"),"N/A"))</f>
        <v>N/A</v>
      </c>
      <c r="BC9" s="69" t="str">
        <f>IF(D9="","",IF(BB9="No",AJ9+AK9-AS9-AT9,"N/A"))</f>
        <v>N/A</v>
      </c>
      <c r="BD9" s="149" t="str">
        <f t="shared" ref="BD9" si="22">IF(D9="","",IF(AND(AX9&lt;&gt;"No",AY9&lt;&gt;"No",AZ9&lt;&gt;"Yes",BB9&lt;&gt;"No"),"Yes","No"))</f>
        <v>Yes</v>
      </c>
      <c r="BE9" s="60"/>
      <c r="BF9" s="68">
        <f>IF(D9="","",SUMIF('2. BMP Data'!$C$7:$C$55,$D9,'2. BMP Data'!T$7:T$55))</f>
        <v>0</v>
      </c>
      <c r="BG9" s="69">
        <f t="shared" ref="BG9:BG25" si="23">IF(D9="","",7.48*BF9)</f>
        <v>0</v>
      </c>
      <c r="BH9" s="53"/>
      <c r="BI9" s="116"/>
      <c r="BJ9" s="116"/>
    </row>
    <row r="10" spans="1:62" s="52" customFormat="1" x14ac:dyDescent="0.3">
      <c r="D10" s="155"/>
      <c r="E10" s="156"/>
      <c r="F10" s="157"/>
      <c r="G10" s="158"/>
      <c r="H10" s="158"/>
      <c r="I10" s="158"/>
      <c r="J10" s="67" t="str">
        <f t="shared" ref="J10:J25" si="24">IF(D10="","",(SUM(F10:I10)))</f>
        <v/>
      </c>
      <c r="K10" s="157"/>
      <c r="L10" s="158"/>
      <c r="M10" s="158"/>
      <c r="N10" s="158"/>
      <c r="O10" s="67" t="str">
        <f t="shared" ref="O10:O25" si="25">IF(D10="","",(SUM(K10:N10)))</f>
        <v/>
      </c>
      <c r="P10" s="157"/>
      <c r="Q10" s="158"/>
      <c r="R10" s="158"/>
      <c r="S10" s="158"/>
      <c r="T10" s="158"/>
      <c r="U10" s="69" t="str">
        <f t="shared" si="12"/>
        <v/>
      </c>
      <c r="V10" s="55">
        <f t="shared" si="3"/>
        <v>0</v>
      </c>
      <c r="W10" s="55">
        <f t="shared" si="4"/>
        <v>0</v>
      </c>
      <c r="X10" s="55">
        <f t="shared" si="5"/>
        <v>0</v>
      </c>
      <c r="Y10" s="54" t="str">
        <f t="shared" si="13"/>
        <v/>
      </c>
      <c r="Z10" s="157"/>
      <c r="AA10" s="158"/>
      <c r="AB10" s="158"/>
      <c r="AC10" s="158"/>
      <c r="AD10" s="158"/>
      <c r="AE10" s="69" t="str">
        <f t="shared" si="14"/>
        <v/>
      </c>
      <c r="AF10" s="55">
        <f t="shared" si="15"/>
        <v>0</v>
      </c>
      <c r="AG10" s="55">
        <f t="shared" si="16"/>
        <v>0</v>
      </c>
      <c r="AH10" s="55">
        <f t="shared" si="17"/>
        <v>0</v>
      </c>
      <c r="AI10" s="88" t="str">
        <f t="shared" si="18"/>
        <v/>
      </c>
      <c r="AJ10" s="87" t="str">
        <f>IF(D10="","",('Site Data'!$N$19/12*U10*Y10+'Site Data'!$U$19/12*AE10*AI10))</f>
        <v/>
      </c>
      <c r="AK10" s="69" t="str">
        <f>IF(D10="","",(IF('1. Site Drainage Areas'!$C$4="Yes",1.7/12*(U10*Y10+AE10*AI10)-AJ10,"N/A")))</f>
        <v/>
      </c>
      <c r="AL10" s="66" t="str">
        <f>IF(D10="","",IF(OR('1. Site Drainage Areas'!$D$4="Tidal MS4",'1. Site Drainage Areas'!$D$4="Non-tidal MS4"),IF(E10="yes",0,('Site Data'!$N$19/12*S10*0.95+'Site Data'!$U$19/12*AC10*0.95)),0))</f>
        <v/>
      </c>
      <c r="AM10" s="89" t="str">
        <f>IF(D10="","",SUMIF('2. BMP Data'!$C$7:$C$55,$D10,'2. BMP Data'!J$7:J$55))</f>
        <v/>
      </c>
      <c r="AN10" s="69" t="str">
        <f>IF(D10="","",SUMIF('2. BMP Data'!$C$7:$C$55,$D10,'2. BMP Data'!K$7:K$55))</f>
        <v/>
      </c>
      <c r="AO10" s="69" t="str">
        <f>IF(D10="","",SUMIF('2. BMP Data'!$C$7:$C$55,$D10,'2. BMP Data'!L$7:L$55))</f>
        <v/>
      </c>
      <c r="AP10" s="69" t="str">
        <f>IF(D10="","",SUMIF('2. BMP Data'!$C$7:$C$55,$D10,'2. BMP Data'!M$7:M$55))</f>
        <v/>
      </c>
      <c r="AQ10" s="67" t="str">
        <f>IF(D10="","",SUMIF('2. BMP Data'!$C$7:$C$55,$D10,'2. BMP Data'!P$7:P$55))</f>
        <v/>
      </c>
      <c r="AR10" s="68" t="str">
        <f>IF(D10="","",SUMIF('2. BMP Data'!$C$7:$C$55,$D10,'2. BMP Data'!S$7:S$55))</f>
        <v/>
      </c>
      <c r="AS10" s="68" t="str">
        <f>IF(D10="","",SUMIF('2. BMP Data'!$C$7:$C$55,$D10,'2. BMP Data'!T$7:T$55))</f>
        <v/>
      </c>
      <c r="AT10" s="69" t="str">
        <f>IF(D10="","",SUMIF('2. BMP Data'!$C$7:$C$55,$D10,'2. BMP Data'!V$7:V$55))</f>
        <v/>
      </c>
      <c r="AU10" s="69" t="str">
        <f t="shared" si="19"/>
        <v/>
      </c>
      <c r="AV10" s="69" t="str">
        <f t="shared" si="20"/>
        <v/>
      </c>
      <c r="AW10" s="49" t="str">
        <f>IF(D10="","",(IF(AND(E10="Yes",AV10&lt;&gt;0),"Follow DOEE MEP Procedure",IF('1. Site Drainage Areas'!$C$4="No",IF(AV10=0,"Required SWRv exceeded by "&amp;ROUND((AS10-AJ10)*7.48,0)&amp;" gallons which may be able to be used to generate SRCs.","Off Site Retention may be needed."), IF(AV10=0,"Required SWRv exceeded by "&amp;ROUND((AS10-AJ10)*7.48,0)&amp;" gallons which contributes to meeting WQTv requirements.","Off Site Retention may be needed.")))))</f>
        <v/>
      </c>
      <c r="AX10" s="49" t="str">
        <f>IF(D10="","",(IF(OR('1. Site Drainage Areas'!$D$4="Tidal MS4",'1. Site Drainage Areas'!$D$4="Non-tidal MS4"),IF(AS10&gt;=0.5*AJ10,"Yes", "No"),"N/A")))</f>
        <v/>
      </c>
      <c r="AY10" s="49" t="str">
        <f>IF(D10="","",IF(AL10&gt;0,IF(AND(SUMIF('2. BMP Data'!$C$7:$C$55,'1. Site Drainage Areas'!D10,'2. BMP Data'!$N$7:$N$55)&gt;='1. Site Drainage Areas'!S10+'1. Site Drainage Areas'!AC10,COUNTIFS('2. BMP Data'!$C$7:$C$55,'1. Site Drainage Areas'!D10,'2. BMP Data'!$Y$7:$Y$55,"No")=0),"Yes","No"),"N/A"))</f>
        <v/>
      </c>
      <c r="AZ10" s="53" t="str">
        <f>IF(D10="","",IF(AND('1. Site Drainage Areas'!$D$4&lt;&gt;"Tidal MS4",'1. Site Drainage Areas'!$D$4&lt;&gt;"Non-tidal MS4"),"No",IF(AX10="Yes","No","Yes")))</f>
        <v/>
      </c>
      <c r="BA10" s="69" t="str">
        <f t="shared" si="21"/>
        <v/>
      </c>
      <c r="BB10" s="57" t="str">
        <f>IF(D10="","",IF('1. Site Drainage Areas'!$C$4="Yes",IF(AS10+AT10&gt;=AJ10+AK10,"Yes","No"),"N/A"))</f>
        <v/>
      </c>
      <c r="BC10" s="69" t="str">
        <f t="shared" ref="BC10:BC25" si="26">IF(D10="","",IF(BB10="No",AJ10+AK10-AS10-AT10,"N/A"))</f>
        <v/>
      </c>
      <c r="BD10" s="149" t="str">
        <f>IF(D10="","",IF(AND(AX10&lt;&gt;"No",AY10&lt;&gt;"No",AZ10&lt;&gt;"Yes",BB10&lt;&gt;"No"),"Yes","No"))</f>
        <v/>
      </c>
      <c r="BE10" s="60"/>
      <c r="BF10" s="68" t="str">
        <f>IF(D10="","",SUMIF('2. BMP Data'!$C$7:$C$55,$D10,'2. BMP Data'!T$7:T$55))</f>
        <v/>
      </c>
      <c r="BG10" s="69" t="str">
        <f t="shared" si="23"/>
        <v/>
      </c>
      <c r="BH10" s="53"/>
      <c r="BI10" s="116"/>
      <c r="BJ10" s="116"/>
    </row>
    <row r="11" spans="1:62" s="52" customFormat="1" x14ac:dyDescent="0.3">
      <c r="D11" s="155"/>
      <c r="E11" s="156"/>
      <c r="F11" s="159"/>
      <c r="G11" s="160"/>
      <c r="H11" s="160"/>
      <c r="I11" s="160"/>
      <c r="J11" s="67" t="str">
        <f t="shared" si="24"/>
        <v/>
      </c>
      <c r="K11" s="159"/>
      <c r="L11" s="160"/>
      <c r="M11" s="160"/>
      <c r="N11" s="160"/>
      <c r="O11" s="67" t="str">
        <f t="shared" si="25"/>
        <v/>
      </c>
      <c r="P11" s="159"/>
      <c r="Q11" s="160"/>
      <c r="R11" s="160"/>
      <c r="S11" s="160"/>
      <c r="T11" s="160"/>
      <c r="U11" s="69" t="str">
        <f t="shared" si="12"/>
        <v/>
      </c>
      <c r="V11" s="55">
        <f t="shared" si="3"/>
        <v>0</v>
      </c>
      <c r="W11" s="55">
        <f t="shared" si="4"/>
        <v>0</v>
      </c>
      <c r="X11" s="55">
        <f t="shared" si="5"/>
        <v>0</v>
      </c>
      <c r="Y11" s="54" t="str">
        <f t="shared" si="13"/>
        <v/>
      </c>
      <c r="Z11" s="159"/>
      <c r="AA11" s="160"/>
      <c r="AB11" s="160"/>
      <c r="AC11" s="160"/>
      <c r="AD11" s="160"/>
      <c r="AE11" s="69" t="str">
        <f t="shared" si="14"/>
        <v/>
      </c>
      <c r="AF11" s="55">
        <f t="shared" si="15"/>
        <v>0</v>
      </c>
      <c r="AG11" s="55">
        <f t="shared" si="16"/>
        <v>0</v>
      </c>
      <c r="AH11" s="55">
        <f t="shared" si="17"/>
        <v>0</v>
      </c>
      <c r="AI11" s="88" t="str">
        <f t="shared" si="18"/>
        <v/>
      </c>
      <c r="AJ11" s="87" t="str">
        <f>IF(D11="","",('Site Data'!$N$19/12*U11*Y11+'Site Data'!$U$19/12*AE11*AI11))</f>
        <v/>
      </c>
      <c r="AK11" s="69" t="str">
        <f>IF(D11="","",(IF('1. Site Drainage Areas'!$C$4="Yes",1.7/12*(U11*Y11+AE11*AI11)-AJ11,"N/A")))</f>
        <v/>
      </c>
      <c r="AL11" s="66" t="str">
        <f>IF(D11="","",IF(OR('1. Site Drainage Areas'!$D$4="Tidal MS4",'1. Site Drainage Areas'!$D$4="Non-tidal MS4"),IF(E11="yes",0,('Site Data'!$N$19/12*S11*0.95+'Site Data'!$U$19/12*AC11*0.95)),0))</f>
        <v/>
      </c>
      <c r="AM11" s="89" t="str">
        <f>IF(D11="","",SUMIF('2. BMP Data'!$C$7:$C$55,$D11,'2. BMP Data'!J$7:J$55))</f>
        <v/>
      </c>
      <c r="AN11" s="69" t="str">
        <f>IF(D11="","",SUMIF('2. BMP Data'!$C$7:$C$55,$D11,'2. BMP Data'!K$7:K$55))</f>
        <v/>
      </c>
      <c r="AO11" s="69" t="str">
        <f>IF(D11="","",SUMIF('2. BMP Data'!$C$7:$C$55,$D11,'2. BMP Data'!L$7:L$55))</f>
        <v/>
      </c>
      <c r="AP11" s="69" t="str">
        <f>IF(D11="","",SUMIF('2. BMP Data'!$C$7:$C$55,$D11,'2. BMP Data'!M$7:M$55))</f>
        <v/>
      </c>
      <c r="AQ11" s="67" t="str">
        <f>IF(D11="","",SUMIF('2. BMP Data'!$C$7:$C$55,$D11,'2. BMP Data'!P$7:P$55))</f>
        <v/>
      </c>
      <c r="AR11" s="68" t="str">
        <f>IF(D11="","",SUMIF('2. BMP Data'!$C$7:$C$55,$D11,'2. BMP Data'!S$7:S$55))</f>
        <v/>
      </c>
      <c r="AS11" s="68" t="str">
        <f>IF(D11="","",SUMIF('2. BMP Data'!$C$7:$C$55,$D11,'2. BMP Data'!T$7:T$55))</f>
        <v/>
      </c>
      <c r="AT11" s="69" t="str">
        <f>IF(D11="","",SUMIF('2. BMP Data'!$C$7:$C$55,$D11,'2. BMP Data'!V$7:V$55))</f>
        <v/>
      </c>
      <c r="AU11" s="69" t="str">
        <f t="shared" si="19"/>
        <v/>
      </c>
      <c r="AV11" s="69" t="str">
        <f t="shared" si="20"/>
        <v/>
      </c>
      <c r="AW11" s="49" t="str">
        <f>IF(D11="","",(IF(AND(E11="Yes",AV11&lt;&gt;0),"Follow DOEE MEP Procedure",IF('1. Site Drainage Areas'!$C$4="No",IF(AV11=0,"Required SWRv exceeded by "&amp;ROUND((AS11-AJ11)*7.48,0)&amp;" gallons which may be able to be used to generate SRCs.","Off Site Retention may be needed."), IF(AV11=0,"Required SWRv exceeded by "&amp;ROUND((AS11-AJ11)*7.48,0)&amp;" gallons which contributes to meeting WQTv requirements.","Off Site Retention may be needed.")))))</f>
        <v/>
      </c>
      <c r="AX11" s="49" t="str">
        <f>IF(D11="","",(IF(OR('1. Site Drainage Areas'!$D$4="Tidal MS4",'1. Site Drainage Areas'!$D$4="Non-tidal MS4"),IF(AS11&gt;=0.5*AJ11,"Yes", "No"),"N/A")))</f>
        <v/>
      </c>
      <c r="AY11" s="49" t="str">
        <f>IF(D11="","",IF(AL11&gt;0,IF(AND(SUMIF('2. BMP Data'!$C$7:$C$55,'1. Site Drainage Areas'!D11,'2. BMP Data'!$N$7:$N$55)&gt;='1. Site Drainage Areas'!S11+'1. Site Drainage Areas'!AC11,COUNTIFS('2. BMP Data'!$C$7:$C$55,'1. Site Drainage Areas'!D11,'2. BMP Data'!$Y$7:$Y$55,"No")=0),"Yes","No"),"N/A"))</f>
        <v/>
      </c>
      <c r="AZ11" s="53" t="str">
        <f>IF(D11="","",IF(AND('1. Site Drainage Areas'!$D$4&lt;&gt;"Tidal MS4",'1. Site Drainage Areas'!$D$4&lt;&gt;"Non-tidal MS4"),"No",IF(AX11="Yes","No","Yes")))</f>
        <v/>
      </c>
      <c r="BA11" s="69" t="str">
        <f t="shared" si="21"/>
        <v/>
      </c>
      <c r="BB11" s="57" t="str">
        <f>IF(D11="","",IF('1. Site Drainage Areas'!$C$4="Yes",IF(AS11+AT11&gt;=AJ11+AK11,"Yes","No"),"N/A"))</f>
        <v/>
      </c>
      <c r="BC11" s="69" t="str">
        <f t="shared" si="26"/>
        <v/>
      </c>
      <c r="BD11" s="149" t="str">
        <f t="shared" ref="BD11:BD25" si="27">IF(D11="","",IF(AND(AX11&lt;&gt;"No",AY11&lt;&gt;"No",AZ11&lt;&gt;"Yes",BB11&lt;&gt;"No"),"Yes","No"))</f>
        <v/>
      </c>
      <c r="BE11" s="60"/>
      <c r="BF11" s="68" t="str">
        <f>IF(D11="","",SUMIF('2. BMP Data'!$C$7:$C$55,$D11,'2. BMP Data'!T$7:T$55))</f>
        <v/>
      </c>
      <c r="BG11" s="69" t="str">
        <f t="shared" si="23"/>
        <v/>
      </c>
      <c r="BH11" s="53"/>
      <c r="BI11" s="116"/>
      <c r="BJ11" s="116"/>
    </row>
    <row r="12" spans="1:62" s="52" customFormat="1" x14ac:dyDescent="0.3">
      <c r="D12" s="155"/>
      <c r="E12" s="156"/>
      <c r="F12" s="157"/>
      <c r="G12" s="158"/>
      <c r="H12" s="158"/>
      <c r="I12" s="158"/>
      <c r="J12" s="67" t="str">
        <f t="shared" si="24"/>
        <v/>
      </c>
      <c r="K12" s="157"/>
      <c r="L12" s="158"/>
      <c r="M12" s="158"/>
      <c r="N12" s="158"/>
      <c r="O12" s="67" t="str">
        <f t="shared" si="25"/>
        <v/>
      </c>
      <c r="P12" s="157"/>
      <c r="Q12" s="158"/>
      <c r="R12" s="158"/>
      <c r="S12" s="158"/>
      <c r="T12" s="158"/>
      <c r="U12" s="69" t="str">
        <f t="shared" si="12"/>
        <v/>
      </c>
      <c r="V12" s="55">
        <f t="shared" si="3"/>
        <v>0</v>
      </c>
      <c r="W12" s="55">
        <f t="shared" si="4"/>
        <v>0</v>
      </c>
      <c r="X12" s="55">
        <f t="shared" si="5"/>
        <v>0</v>
      </c>
      <c r="Y12" s="54" t="str">
        <f t="shared" si="13"/>
        <v/>
      </c>
      <c r="Z12" s="165"/>
      <c r="AA12" s="158"/>
      <c r="AB12" s="158"/>
      <c r="AC12" s="158"/>
      <c r="AD12" s="158"/>
      <c r="AE12" s="69" t="str">
        <f t="shared" si="14"/>
        <v/>
      </c>
      <c r="AF12" s="55">
        <f t="shared" si="15"/>
        <v>0</v>
      </c>
      <c r="AG12" s="55">
        <f t="shared" si="16"/>
        <v>0</v>
      </c>
      <c r="AH12" s="55">
        <f t="shared" si="17"/>
        <v>0</v>
      </c>
      <c r="AI12" s="88" t="str">
        <f t="shared" si="18"/>
        <v/>
      </c>
      <c r="AJ12" s="87" t="str">
        <f>IF(D12="","",('Site Data'!$N$19/12*U12*Y12+'Site Data'!$U$19/12*AE12*AI12))</f>
        <v/>
      </c>
      <c r="AK12" s="69" t="str">
        <f>IF(D12="","",(IF('1. Site Drainage Areas'!$C$4="Yes",1.7/12*(U12*Y12+AE12*AI12)-AJ12,"N/A")))</f>
        <v/>
      </c>
      <c r="AL12" s="66" t="str">
        <f>IF(D12="","",IF(OR('1. Site Drainage Areas'!$D$4="Tidal MS4",'1. Site Drainage Areas'!$D$4="Non-tidal MS4"),IF(E12="yes",0,('Site Data'!$N$19/12*S12*0.95+'Site Data'!$U$19/12*AC12*0.95)),0))</f>
        <v/>
      </c>
      <c r="AM12" s="89" t="str">
        <f>IF(D12="","",SUMIF('2. BMP Data'!$C$7:$C$55,$D12,'2. BMP Data'!J$7:J$55))</f>
        <v/>
      </c>
      <c r="AN12" s="69" t="str">
        <f>IF(D12="","",SUMIF('2. BMP Data'!$C$7:$C$55,$D12,'2. BMP Data'!K$7:K$55))</f>
        <v/>
      </c>
      <c r="AO12" s="69" t="str">
        <f>IF(D12="","",SUMIF('2. BMP Data'!$C$7:$C$55,$D12,'2. BMP Data'!L$7:L$55))</f>
        <v/>
      </c>
      <c r="AP12" s="69" t="str">
        <f>IF(D12="","",SUMIF('2. BMP Data'!$C$7:$C$55,$D12,'2. BMP Data'!M$7:M$55))</f>
        <v/>
      </c>
      <c r="AQ12" s="67" t="str">
        <f>IF(D12="","",SUMIF('2. BMP Data'!$C$7:$C$55,$D12,'2. BMP Data'!P$7:P$55))</f>
        <v/>
      </c>
      <c r="AR12" s="68" t="str">
        <f>IF(D12="","",SUMIF('2. BMP Data'!$C$7:$C$55,$D12,'2. BMP Data'!S$7:S$55))</f>
        <v/>
      </c>
      <c r="AS12" s="68" t="str">
        <f>IF(D12="","",SUMIF('2. BMP Data'!$C$7:$C$55,$D12,'2. BMP Data'!T$7:T$55))</f>
        <v/>
      </c>
      <c r="AT12" s="69" t="str">
        <f>IF(D12="","",SUMIF('2. BMP Data'!$C$7:$C$55,$D12,'2. BMP Data'!V$7:V$55))</f>
        <v/>
      </c>
      <c r="AU12" s="69" t="str">
        <f t="shared" si="19"/>
        <v/>
      </c>
      <c r="AV12" s="69" t="str">
        <f t="shared" si="20"/>
        <v/>
      </c>
      <c r="AW12" s="49" t="str">
        <f>IF(D12="","",(IF(AND(E12="Yes",AV12&lt;&gt;0),"Follow DOEE MEP Procedure",IF('1. Site Drainage Areas'!$C$4="No",IF(AV12=0,"Required SWRv exceeded by "&amp;ROUND((AS12-AJ12)*7.48,0)&amp;" gallons which may be able to be used to generate SRCs.","Off Site Retention may be needed."), IF(AV12=0,"Required SWRv exceeded by "&amp;ROUND((AS12-AJ12)*7.48,0)&amp;" gallons which contributes to meeting WQTv requirements.","Off Site Retention may be needed.")))))</f>
        <v/>
      </c>
      <c r="AX12" s="49" t="str">
        <f>IF(D12="","",(IF(OR('1. Site Drainage Areas'!$D$4="Tidal MS4",'1. Site Drainage Areas'!$D$4="Non-tidal MS4"),IF(AS12&gt;=0.5*AJ12,"Yes", "No"),"N/A")))</f>
        <v/>
      </c>
      <c r="AY12" s="49" t="str">
        <f>IF(D12="","",IF(AL12&gt;0,IF(AND(SUMIF('2. BMP Data'!$C$7:$C$55,'1. Site Drainage Areas'!D12,'2. BMP Data'!$N$7:$N$55)&gt;='1. Site Drainage Areas'!S12+'1. Site Drainage Areas'!AC12,COUNTIFS('2. BMP Data'!$C$7:$C$55,'1. Site Drainage Areas'!D12,'2. BMP Data'!$Y$7:$Y$55,"No")=0),"Yes","No"),"N/A"))</f>
        <v/>
      </c>
      <c r="AZ12" s="53" t="str">
        <f>IF(D12="","",IF(AND('1. Site Drainage Areas'!$D$4&lt;&gt;"Tidal MS4",'1. Site Drainage Areas'!$D$4&lt;&gt;"Non-tidal MS4"),"No",IF(AX12="Yes","No","Yes")))</f>
        <v/>
      </c>
      <c r="BA12" s="69" t="str">
        <f t="shared" si="21"/>
        <v/>
      </c>
      <c r="BB12" s="57" t="str">
        <f>IF(D12="","",IF('1. Site Drainage Areas'!$C$4="Yes",IF(AS12+AT12&gt;=AJ12+AK12,"Yes","No"),"N/A"))</f>
        <v/>
      </c>
      <c r="BC12" s="69" t="str">
        <f t="shared" si="26"/>
        <v/>
      </c>
      <c r="BD12" s="149" t="str">
        <f t="shared" si="27"/>
        <v/>
      </c>
      <c r="BE12" s="60"/>
      <c r="BF12" s="68" t="str">
        <f>IF(D12="","",SUMIF('2. BMP Data'!$C$7:$C$55,$D12,'2. BMP Data'!T$7:T$55))</f>
        <v/>
      </c>
      <c r="BG12" s="69" t="str">
        <f t="shared" si="23"/>
        <v/>
      </c>
      <c r="BH12" s="53"/>
      <c r="BI12" s="116"/>
      <c r="BJ12" s="116"/>
    </row>
    <row r="13" spans="1:62" s="52" customFormat="1" x14ac:dyDescent="0.3">
      <c r="D13" s="155"/>
      <c r="E13" s="156"/>
      <c r="F13" s="157"/>
      <c r="G13" s="158"/>
      <c r="H13" s="158"/>
      <c r="I13" s="158"/>
      <c r="J13" s="67" t="str">
        <f t="shared" si="24"/>
        <v/>
      </c>
      <c r="K13" s="157"/>
      <c r="L13" s="158"/>
      <c r="M13" s="158"/>
      <c r="N13" s="158"/>
      <c r="O13" s="67" t="str">
        <f t="shared" si="25"/>
        <v/>
      </c>
      <c r="P13" s="157"/>
      <c r="Q13" s="158"/>
      <c r="R13" s="158"/>
      <c r="S13" s="158"/>
      <c r="T13" s="158"/>
      <c r="U13" s="69" t="str">
        <f t="shared" si="12"/>
        <v/>
      </c>
      <c r="V13" s="55">
        <f t="shared" si="3"/>
        <v>0</v>
      </c>
      <c r="W13" s="55">
        <f t="shared" si="4"/>
        <v>0</v>
      </c>
      <c r="X13" s="55">
        <f t="shared" si="5"/>
        <v>0</v>
      </c>
      <c r="Y13" s="54" t="str">
        <f t="shared" si="13"/>
        <v/>
      </c>
      <c r="Z13" s="165"/>
      <c r="AA13" s="158"/>
      <c r="AB13" s="158"/>
      <c r="AC13" s="158"/>
      <c r="AD13" s="158"/>
      <c r="AE13" s="69" t="str">
        <f t="shared" si="14"/>
        <v/>
      </c>
      <c r="AF13" s="55">
        <f t="shared" si="15"/>
        <v>0</v>
      </c>
      <c r="AG13" s="55">
        <f t="shared" si="16"/>
        <v>0</v>
      </c>
      <c r="AH13" s="55">
        <f t="shared" si="17"/>
        <v>0</v>
      </c>
      <c r="AI13" s="88" t="str">
        <f t="shared" si="18"/>
        <v/>
      </c>
      <c r="AJ13" s="87" t="str">
        <f>IF(D13="","",('Site Data'!$N$19/12*U13*Y13+'Site Data'!$U$19/12*AE13*AI13))</f>
        <v/>
      </c>
      <c r="AK13" s="69" t="str">
        <f>IF(D13="","",(IF('1. Site Drainage Areas'!$C$4="Yes",1.7/12*(U13*Y13+AE13*AI13)-AJ13,"N/A")))</f>
        <v/>
      </c>
      <c r="AL13" s="66" t="str">
        <f>IF(D13="","",IF(OR('1. Site Drainage Areas'!$D$4="Tidal MS4",'1. Site Drainage Areas'!$D$4="Non-tidal MS4"),IF(E13="yes",0,('Site Data'!$N$19/12*S13*0.95+'Site Data'!$U$19/12*AC13*0.95)),0))</f>
        <v/>
      </c>
      <c r="AM13" s="89" t="str">
        <f>IF(D13="","",SUMIF('2. BMP Data'!$C$7:$C$55,$D13,'2. BMP Data'!J$7:J$55))</f>
        <v/>
      </c>
      <c r="AN13" s="69" t="str">
        <f>IF(D13="","",SUMIF('2. BMP Data'!$C$7:$C$55,$D13,'2. BMP Data'!K$7:K$55))</f>
        <v/>
      </c>
      <c r="AO13" s="69" t="str">
        <f>IF(D13="","",SUMIF('2. BMP Data'!$C$7:$C$55,$D13,'2. BMP Data'!L$7:L$55))</f>
        <v/>
      </c>
      <c r="AP13" s="69" t="str">
        <f>IF(D13="","",SUMIF('2. BMP Data'!$C$7:$C$55,$D13,'2. BMP Data'!M$7:M$55))</f>
        <v/>
      </c>
      <c r="AQ13" s="67" t="str">
        <f>IF(D13="","",SUMIF('2. BMP Data'!$C$7:$C$55,$D13,'2. BMP Data'!P$7:P$55))</f>
        <v/>
      </c>
      <c r="AR13" s="68" t="str">
        <f>IF(D13="","",SUMIF('2. BMP Data'!$C$7:$C$55,$D13,'2. BMP Data'!S$7:S$55))</f>
        <v/>
      </c>
      <c r="AS13" s="68" t="str">
        <f>IF(D13="","",SUMIF('2. BMP Data'!$C$7:$C$55,$D13,'2. BMP Data'!T$7:T$55))</f>
        <v/>
      </c>
      <c r="AT13" s="69" t="str">
        <f>IF(D13="","",SUMIF('2. BMP Data'!$C$7:$C$55,$D13,'2. BMP Data'!V$7:V$55))</f>
        <v/>
      </c>
      <c r="AU13" s="69" t="str">
        <f t="shared" si="19"/>
        <v/>
      </c>
      <c r="AV13" s="69" t="str">
        <f t="shared" si="20"/>
        <v/>
      </c>
      <c r="AW13" s="49" t="str">
        <f>IF(D13="","",(IF(AND(E13="Yes",AV13&lt;&gt;0),"Follow DOEE MEP Procedure",IF('1. Site Drainage Areas'!$C$4="No",IF(AV13=0,"Required SWRv exceeded by "&amp;ROUND((AS13-AJ13)*7.48,0)&amp;" gallons which may be able to be used to generate SRCs.","Off Site Retention may be needed."), IF(AV13=0,"Required SWRv exceeded by "&amp;ROUND((AS13-AJ13)*7.48,0)&amp;" gallons which contributes to meeting WQTv requirements.","Off Site Retention may be needed.")))))</f>
        <v/>
      </c>
      <c r="AX13" s="49" t="str">
        <f>IF(D13="","",(IF(OR('1. Site Drainage Areas'!$D$4="Tidal MS4",'1. Site Drainage Areas'!$D$4="Non-tidal MS4"),IF(AS13&gt;=0.5*AJ13,"Yes", "No"),"N/A")))</f>
        <v/>
      </c>
      <c r="AY13" s="49" t="str">
        <f>IF(D13="","",IF(AL13&gt;0,IF(AND(SUMIF('2. BMP Data'!$C$7:$C$55,'1. Site Drainage Areas'!D13,'2. BMP Data'!$N$7:$N$55)&gt;='1. Site Drainage Areas'!S13+'1. Site Drainage Areas'!AC13,COUNTIFS('2. BMP Data'!$C$7:$C$55,'1. Site Drainage Areas'!D13,'2. BMP Data'!$Y$7:$Y$55,"No")=0),"Yes","No"),"N/A"))</f>
        <v/>
      </c>
      <c r="AZ13" s="53" t="str">
        <f>IF(D13="","",IF(AND('1. Site Drainage Areas'!$D$4&lt;&gt;"Tidal MS4",'1. Site Drainage Areas'!$D$4&lt;&gt;"Non-tidal MS4"),"No",IF(AX13="Yes","No","Yes")))</f>
        <v/>
      </c>
      <c r="BA13" s="69" t="str">
        <f t="shared" si="21"/>
        <v/>
      </c>
      <c r="BB13" s="57" t="str">
        <f>IF(D13="","",IF('1. Site Drainage Areas'!$C$4="Yes",IF(AS13+AT13&gt;=AJ13+AK13,"Yes","No"),"N/A"))</f>
        <v/>
      </c>
      <c r="BC13" s="69" t="str">
        <f t="shared" si="26"/>
        <v/>
      </c>
      <c r="BD13" s="149" t="str">
        <f t="shared" si="27"/>
        <v/>
      </c>
      <c r="BE13" s="60"/>
      <c r="BF13" s="68" t="str">
        <f>IF(D13="","",SUMIF('2. BMP Data'!$C$7:$C$55,$D13,'2. BMP Data'!T$7:T$55))</f>
        <v/>
      </c>
      <c r="BG13" s="69" t="str">
        <f t="shared" si="23"/>
        <v/>
      </c>
      <c r="BH13" s="53"/>
      <c r="BI13" s="116"/>
      <c r="BJ13" s="116"/>
    </row>
    <row r="14" spans="1:62" s="52" customFormat="1" x14ac:dyDescent="0.3">
      <c r="D14" s="155"/>
      <c r="E14" s="156"/>
      <c r="F14" s="157"/>
      <c r="G14" s="158"/>
      <c r="H14" s="158"/>
      <c r="I14" s="158"/>
      <c r="J14" s="67" t="str">
        <f t="shared" si="24"/>
        <v/>
      </c>
      <c r="K14" s="157"/>
      <c r="L14" s="158"/>
      <c r="M14" s="158"/>
      <c r="N14" s="158"/>
      <c r="O14" s="67" t="str">
        <f t="shared" si="25"/>
        <v/>
      </c>
      <c r="P14" s="157"/>
      <c r="Q14" s="158"/>
      <c r="R14" s="158"/>
      <c r="S14" s="158"/>
      <c r="T14" s="158"/>
      <c r="U14" s="69" t="str">
        <f t="shared" si="12"/>
        <v/>
      </c>
      <c r="V14" s="55">
        <f t="shared" si="3"/>
        <v>0</v>
      </c>
      <c r="W14" s="55">
        <f t="shared" si="4"/>
        <v>0</v>
      </c>
      <c r="X14" s="55">
        <f t="shared" si="5"/>
        <v>0</v>
      </c>
      <c r="Y14" s="54" t="str">
        <f t="shared" si="13"/>
        <v/>
      </c>
      <c r="Z14" s="165"/>
      <c r="AA14" s="158"/>
      <c r="AB14" s="158"/>
      <c r="AC14" s="158"/>
      <c r="AD14" s="158"/>
      <c r="AE14" s="69" t="str">
        <f t="shared" si="14"/>
        <v/>
      </c>
      <c r="AF14" s="55">
        <f t="shared" si="15"/>
        <v>0</v>
      </c>
      <c r="AG14" s="55">
        <f t="shared" si="16"/>
        <v>0</v>
      </c>
      <c r="AH14" s="55">
        <f t="shared" si="17"/>
        <v>0</v>
      </c>
      <c r="AI14" s="88" t="str">
        <f t="shared" si="18"/>
        <v/>
      </c>
      <c r="AJ14" s="87" t="str">
        <f>IF(D14="","",('Site Data'!$N$19/12*U14*Y14+'Site Data'!$U$19/12*AE14*AI14))</f>
        <v/>
      </c>
      <c r="AK14" s="69" t="str">
        <f>IF(D14="","",(IF('1. Site Drainage Areas'!$C$4="Yes",1.7/12*(U14*Y14+AE14*AI14)-AJ14,"N/A")))</f>
        <v/>
      </c>
      <c r="AL14" s="66" t="str">
        <f>IF(D14="","",IF(OR('1. Site Drainage Areas'!$D$4="Tidal MS4",'1. Site Drainage Areas'!$D$4="Non-tidal MS4"),IF(E14="yes",0,('Site Data'!$N$19/12*S14*0.95+'Site Data'!$U$19/12*AC14*0.95)),0))</f>
        <v/>
      </c>
      <c r="AM14" s="89" t="str">
        <f>IF(D14="","",SUMIF('2. BMP Data'!$C$7:$C$55,$D14,'2. BMP Data'!J$7:J$55))</f>
        <v/>
      </c>
      <c r="AN14" s="69" t="str">
        <f>IF(D14="","",SUMIF('2. BMP Data'!$C$7:$C$55,$D14,'2. BMP Data'!K$7:K$55))</f>
        <v/>
      </c>
      <c r="AO14" s="69" t="str">
        <f>IF(D14="","",SUMIF('2. BMP Data'!$C$7:$C$55,$D14,'2. BMP Data'!L$7:L$55))</f>
        <v/>
      </c>
      <c r="AP14" s="69" t="str">
        <f>IF(D14="","",SUMIF('2. BMP Data'!$C$7:$C$55,$D14,'2. BMP Data'!M$7:M$55))</f>
        <v/>
      </c>
      <c r="AQ14" s="67" t="str">
        <f>IF(D14="","",SUMIF('2. BMP Data'!$C$7:$C$55,$D14,'2. BMP Data'!P$7:P$55))</f>
        <v/>
      </c>
      <c r="AR14" s="68" t="str">
        <f>IF(D14="","",SUMIF('2. BMP Data'!$C$7:$C$55,$D14,'2. BMP Data'!S$7:S$55))</f>
        <v/>
      </c>
      <c r="AS14" s="68" t="str">
        <f>IF(D14="","",SUMIF('2. BMP Data'!$C$7:$C$55,$D14,'2. BMP Data'!T$7:T$55))</f>
        <v/>
      </c>
      <c r="AT14" s="69" t="str">
        <f>IF(D14="","",SUMIF('2. BMP Data'!$C$7:$C$55,$D14,'2. BMP Data'!V$7:V$55))</f>
        <v/>
      </c>
      <c r="AU14" s="69" t="str">
        <f t="shared" si="19"/>
        <v/>
      </c>
      <c r="AV14" s="69" t="str">
        <f t="shared" si="20"/>
        <v/>
      </c>
      <c r="AW14" s="49" t="str">
        <f>IF(D14="","",(IF(AND(E14="Yes",AV14&lt;&gt;0),"Follow DOEE MEP Procedure",IF('1. Site Drainage Areas'!$C$4="No",IF(AV14=0,"Required SWRv exceeded by "&amp;ROUND((AS14-AJ14)*7.48,0)&amp;" gallons which may be able to be used to generate SRCs.","Off Site Retention may be needed."), IF(AV14=0,"Required SWRv exceeded by "&amp;ROUND((AS14-AJ14)*7.48,0)&amp;" gallons which contributes to meeting WQTv requirements.","Off Site Retention may be needed.")))))</f>
        <v/>
      </c>
      <c r="AX14" s="49" t="str">
        <f>IF(D14="","",(IF(OR('1. Site Drainage Areas'!$D$4="Tidal MS4",'1. Site Drainage Areas'!$D$4="Non-tidal MS4"),IF(AS14&gt;=0.5*AJ14,"Yes", "No"),"N/A")))</f>
        <v/>
      </c>
      <c r="AY14" s="49" t="str">
        <f>IF(D14="","",IF(AL14&gt;0,IF(AND(SUMIF('2. BMP Data'!$C$7:$C$55,'1. Site Drainage Areas'!D14,'2. BMP Data'!$N$7:$N$55)&gt;='1. Site Drainage Areas'!S14+'1. Site Drainage Areas'!AC14,COUNTIFS('2. BMP Data'!$C$7:$C$55,'1. Site Drainage Areas'!D14,'2. BMP Data'!$Y$7:$Y$55,"No")=0),"Yes","No"),"N/A"))</f>
        <v/>
      </c>
      <c r="AZ14" s="53" t="str">
        <f>IF(D14="","",IF(AND('1. Site Drainage Areas'!$D$4&lt;&gt;"Tidal MS4",'1. Site Drainage Areas'!$D$4&lt;&gt;"Non-tidal MS4"),"No",IF(AX14="Yes","No","Yes")))</f>
        <v/>
      </c>
      <c r="BA14" s="69" t="str">
        <f t="shared" si="21"/>
        <v/>
      </c>
      <c r="BB14" s="57" t="str">
        <f>IF(D14="","",IF('1. Site Drainage Areas'!$C$4="Yes",IF(AS14+AT14&gt;=AJ14+AK14,"Yes","No"),"N/A"))</f>
        <v/>
      </c>
      <c r="BC14" s="69" t="str">
        <f t="shared" si="26"/>
        <v/>
      </c>
      <c r="BD14" s="149" t="str">
        <f t="shared" si="27"/>
        <v/>
      </c>
      <c r="BE14" s="60"/>
      <c r="BF14" s="68" t="str">
        <f>IF(D14="","",SUMIF('2. BMP Data'!$C$7:$C$55,$D14,'2. BMP Data'!T$7:T$55))</f>
        <v/>
      </c>
      <c r="BG14" s="69" t="str">
        <f t="shared" si="23"/>
        <v/>
      </c>
      <c r="BH14" s="53"/>
      <c r="BI14" s="116"/>
      <c r="BJ14" s="116"/>
    </row>
    <row r="15" spans="1:62" s="52" customFormat="1" x14ac:dyDescent="0.3">
      <c r="D15" s="155"/>
      <c r="E15" s="156"/>
      <c r="F15" s="157"/>
      <c r="G15" s="158"/>
      <c r="H15" s="158"/>
      <c r="I15" s="158"/>
      <c r="J15" s="67" t="str">
        <f t="shared" si="24"/>
        <v/>
      </c>
      <c r="K15" s="157"/>
      <c r="L15" s="158"/>
      <c r="M15" s="158"/>
      <c r="N15" s="158"/>
      <c r="O15" s="67" t="str">
        <f t="shared" si="25"/>
        <v/>
      </c>
      <c r="P15" s="157"/>
      <c r="Q15" s="158"/>
      <c r="R15" s="158"/>
      <c r="S15" s="158"/>
      <c r="T15" s="158"/>
      <c r="U15" s="69" t="str">
        <f t="shared" si="12"/>
        <v/>
      </c>
      <c r="V15" s="55">
        <f t="shared" si="3"/>
        <v>0</v>
      </c>
      <c r="W15" s="55">
        <f t="shared" si="4"/>
        <v>0</v>
      </c>
      <c r="X15" s="55">
        <f t="shared" si="5"/>
        <v>0</v>
      </c>
      <c r="Y15" s="54" t="str">
        <f t="shared" si="13"/>
        <v/>
      </c>
      <c r="Z15" s="165"/>
      <c r="AA15" s="158"/>
      <c r="AB15" s="158"/>
      <c r="AC15" s="158"/>
      <c r="AD15" s="158"/>
      <c r="AE15" s="69" t="str">
        <f t="shared" si="14"/>
        <v/>
      </c>
      <c r="AF15" s="55">
        <f t="shared" si="15"/>
        <v>0</v>
      </c>
      <c r="AG15" s="55">
        <f t="shared" si="16"/>
        <v>0</v>
      </c>
      <c r="AH15" s="55">
        <f t="shared" si="17"/>
        <v>0</v>
      </c>
      <c r="AI15" s="88" t="str">
        <f t="shared" si="18"/>
        <v/>
      </c>
      <c r="AJ15" s="87" t="str">
        <f>IF(D15="","",('Site Data'!$N$19/12*U15*Y15+'Site Data'!$U$19/12*AE15*AI15))</f>
        <v/>
      </c>
      <c r="AK15" s="69" t="str">
        <f>IF(D15="","",(IF('1. Site Drainage Areas'!$C$4="Yes",1.7/12*(U15*Y15+AE15*AI15)-AJ15,"N/A")))</f>
        <v/>
      </c>
      <c r="AL15" s="66" t="str">
        <f>IF(D15="","",IF(OR('1. Site Drainage Areas'!$D$4="Tidal MS4",'1. Site Drainage Areas'!$D$4="Non-tidal MS4"),IF(E15="yes",0,('Site Data'!$N$19/12*S15*0.95+'Site Data'!$U$19/12*AC15*0.95)),0))</f>
        <v/>
      </c>
      <c r="AM15" s="89" t="str">
        <f>IF(D15="","",SUMIF('2. BMP Data'!$C$7:$C$55,$D15,'2. BMP Data'!J$7:J$55))</f>
        <v/>
      </c>
      <c r="AN15" s="69" t="str">
        <f>IF(D15="","",SUMIF('2. BMP Data'!$C$7:$C$55,$D15,'2. BMP Data'!K$7:K$55))</f>
        <v/>
      </c>
      <c r="AO15" s="69" t="str">
        <f>IF(D15="","",SUMIF('2. BMP Data'!$C$7:$C$55,$D15,'2. BMP Data'!L$7:L$55))</f>
        <v/>
      </c>
      <c r="AP15" s="69" t="str">
        <f>IF(D15="","",SUMIF('2. BMP Data'!$C$7:$C$55,$D15,'2. BMP Data'!M$7:M$55))</f>
        <v/>
      </c>
      <c r="AQ15" s="67" t="str">
        <f>IF(D15="","",SUMIF('2. BMP Data'!$C$7:$C$55,$D15,'2. BMP Data'!P$7:P$55))</f>
        <v/>
      </c>
      <c r="AR15" s="68" t="str">
        <f>IF(D15="","",SUMIF('2. BMP Data'!$C$7:$C$55,$D15,'2. BMP Data'!S$7:S$55))</f>
        <v/>
      </c>
      <c r="AS15" s="68" t="str">
        <f>IF(D15="","",SUMIF('2. BMP Data'!$C$7:$C$55,$D15,'2. BMP Data'!T$7:T$55))</f>
        <v/>
      </c>
      <c r="AT15" s="69" t="str">
        <f>IF(D15="","",SUMIF('2. BMP Data'!$C$7:$C$55,$D15,'2. BMP Data'!V$7:V$55))</f>
        <v/>
      </c>
      <c r="AU15" s="69" t="str">
        <f t="shared" si="19"/>
        <v/>
      </c>
      <c r="AV15" s="69" t="str">
        <f t="shared" si="20"/>
        <v/>
      </c>
      <c r="AW15" s="49" t="str">
        <f>IF(D15="","",(IF(AND(E15="Yes",AV15&lt;&gt;0),"Follow DOEE MEP Procedure",IF('1. Site Drainage Areas'!$C$4="No",IF(AV15=0,"Required SWRv exceeded by "&amp;ROUND((AS15-AJ15)*7.48,0)&amp;" gallons which may be able to be used to generate SRCs.","Off Site Retention may be needed."), IF(AV15=0,"Required SWRv exceeded by "&amp;ROUND((AS15-AJ15)*7.48,0)&amp;" gallons which contributes to meeting WQTv requirements.","Off Site Retention may be needed.")))))</f>
        <v/>
      </c>
      <c r="AX15" s="49" t="str">
        <f>IF(D15="","",(IF(OR('1. Site Drainage Areas'!$D$4="Tidal MS4",'1. Site Drainage Areas'!$D$4="Non-tidal MS4"),IF(AS15&gt;=0.5*AJ15,"Yes", "No"),"N/A")))</f>
        <v/>
      </c>
      <c r="AY15" s="49" t="str">
        <f>IF(D15="","",IF(AL15&gt;0,IF(AND(SUMIF('2. BMP Data'!$C$7:$C$55,'1. Site Drainage Areas'!D15,'2. BMP Data'!$N$7:$N$55)&gt;='1. Site Drainage Areas'!S15+'1. Site Drainage Areas'!AC15,COUNTIFS('2. BMP Data'!$C$7:$C$55,'1. Site Drainage Areas'!D15,'2. BMP Data'!$Y$7:$Y$55,"No")=0),"Yes","No"),"N/A"))</f>
        <v/>
      </c>
      <c r="AZ15" s="53" t="str">
        <f>IF(D15="","",IF(AND('1. Site Drainage Areas'!$D$4&lt;&gt;"Tidal MS4",'1. Site Drainage Areas'!$D$4&lt;&gt;"Non-tidal MS4"),"No",IF(AX15="Yes","No","Yes")))</f>
        <v/>
      </c>
      <c r="BA15" s="69" t="str">
        <f t="shared" si="21"/>
        <v/>
      </c>
      <c r="BB15" s="57" t="str">
        <f>IF(D15="","",IF('1. Site Drainage Areas'!$C$4="Yes",IF(AS15+AT15&gt;=AJ15+AK15,"Yes","No"),"N/A"))</f>
        <v/>
      </c>
      <c r="BC15" s="69" t="str">
        <f t="shared" si="26"/>
        <v/>
      </c>
      <c r="BD15" s="149" t="str">
        <f t="shared" si="27"/>
        <v/>
      </c>
      <c r="BE15" s="60"/>
      <c r="BF15" s="68" t="str">
        <f>IF(D15="","",SUMIF('2. BMP Data'!$C$7:$C$55,$D15,'2. BMP Data'!T$7:T$55))</f>
        <v/>
      </c>
      <c r="BG15" s="69" t="str">
        <f t="shared" si="23"/>
        <v/>
      </c>
      <c r="BH15" s="53"/>
      <c r="BI15" s="116"/>
      <c r="BJ15" s="116"/>
    </row>
    <row r="16" spans="1:62" s="52" customFormat="1" x14ac:dyDescent="0.3">
      <c r="D16" s="155"/>
      <c r="E16" s="156"/>
      <c r="F16" s="157"/>
      <c r="G16" s="158"/>
      <c r="H16" s="158"/>
      <c r="I16" s="158"/>
      <c r="J16" s="67" t="str">
        <f t="shared" si="24"/>
        <v/>
      </c>
      <c r="K16" s="157"/>
      <c r="L16" s="158"/>
      <c r="M16" s="158"/>
      <c r="N16" s="158"/>
      <c r="O16" s="67" t="str">
        <f t="shared" si="25"/>
        <v/>
      </c>
      <c r="P16" s="157"/>
      <c r="Q16" s="158"/>
      <c r="R16" s="158"/>
      <c r="S16" s="158"/>
      <c r="T16" s="158"/>
      <c r="U16" s="69" t="str">
        <f t="shared" si="12"/>
        <v/>
      </c>
      <c r="V16" s="55">
        <f t="shared" si="3"/>
        <v>0</v>
      </c>
      <c r="W16" s="55">
        <f t="shared" si="4"/>
        <v>0</v>
      </c>
      <c r="X16" s="55">
        <f t="shared" si="5"/>
        <v>0</v>
      </c>
      <c r="Y16" s="54" t="str">
        <f t="shared" si="13"/>
        <v/>
      </c>
      <c r="Z16" s="165"/>
      <c r="AA16" s="158"/>
      <c r="AB16" s="158"/>
      <c r="AC16" s="158"/>
      <c r="AD16" s="158"/>
      <c r="AE16" s="69" t="str">
        <f t="shared" si="14"/>
        <v/>
      </c>
      <c r="AF16" s="55">
        <f t="shared" si="15"/>
        <v>0</v>
      </c>
      <c r="AG16" s="55">
        <f t="shared" si="16"/>
        <v>0</v>
      </c>
      <c r="AH16" s="55">
        <f t="shared" si="17"/>
        <v>0</v>
      </c>
      <c r="AI16" s="88" t="str">
        <f t="shared" si="18"/>
        <v/>
      </c>
      <c r="AJ16" s="87" t="str">
        <f>IF(D16="","",('Site Data'!$N$19/12*U16*Y16+'Site Data'!$U$19/12*AE16*AI16))</f>
        <v/>
      </c>
      <c r="AK16" s="69" t="str">
        <f>IF(D16="","",(IF('1. Site Drainage Areas'!$C$4="Yes",1.7/12*(U16*Y16+AE16*AI16)-AJ16,"N/A")))</f>
        <v/>
      </c>
      <c r="AL16" s="66" t="str">
        <f>IF(D16="","",IF(OR('1. Site Drainage Areas'!$D$4="Tidal MS4",'1. Site Drainage Areas'!$D$4="Non-tidal MS4"),IF(E16="yes",0,('Site Data'!$N$19/12*S16*0.95+'Site Data'!$U$19/12*AC16*0.95)),0))</f>
        <v/>
      </c>
      <c r="AM16" s="89" t="str">
        <f>IF(D16="","",SUMIF('2. BMP Data'!$C$7:$C$55,$D16,'2. BMP Data'!J$7:J$55))</f>
        <v/>
      </c>
      <c r="AN16" s="69" t="str">
        <f>IF(D16="","",SUMIF('2. BMP Data'!$C$7:$C$55,$D16,'2. BMP Data'!K$7:K$55))</f>
        <v/>
      </c>
      <c r="AO16" s="69" t="str">
        <f>IF(D16="","",SUMIF('2. BMP Data'!$C$7:$C$55,$D16,'2. BMP Data'!L$7:L$55))</f>
        <v/>
      </c>
      <c r="AP16" s="69" t="str">
        <f>IF(D16="","",SUMIF('2. BMP Data'!$C$7:$C$55,$D16,'2. BMP Data'!M$7:M$55))</f>
        <v/>
      </c>
      <c r="AQ16" s="67" t="str">
        <f>IF(D16="","",SUMIF('2. BMP Data'!$C$7:$C$55,$D16,'2. BMP Data'!P$7:P$55))</f>
        <v/>
      </c>
      <c r="AR16" s="68" t="str">
        <f>IF(D16="","",SUMIF('2. BMP Data'!$C$7:$C$55,$D16,'2. BMP Data'!S$7:S$55))</f>
        <v/>
      </c>
      <c r="AS16" s="68" t="str">
        <f>IF(D16="","",SUMIF('2. BMP Data'!$C$7:$C$55,$D16,'2. BMP Data'!T$7:T$55))</f>
        <v/>
      </c>
      <c r="AT16" s="69" t="str">
        <f>IF(D16="","",SUMIF('2. BMP Data'!$C$7:$C$55,$D16,'2. BMP Data'!V$7:V$55))</f>
        <v/>
      </c>
      <c r="AU16" s="69" t="str">
        <f t="shared" si="19"/>
        <v/>
      </c>
      <c r="AV16" s="69" t="str">
        <f t="shared" si="20"/>
        <v/>
      </c>
      <c r="AW16" s="49" t="str">
        <f>IF(D16="","",(IF(AND(E16="Yes",AV16&lt;&gt;0),"Follow DOEE MEP Procedure",IF('1. Site Drainage Areas'!$C$4="No",IF(AV16=0,"Required SWRv exceeded by "&amp;ROUND((AS16-AJ16)*7.48,0)&amp;" gallons which may be able to be used to generate SRCs.","Off Site Retention may be needed."), IF(AV16=0,"Required SWRv exceeded by "&amp;ROUND((AS16-AJ16)*7.48,0)&amp;" gallons which contributes to meeting WQTv requirements.","Off Site Retention may be needed.")))))</f>
        <v/>
      </c>
      <c r="AX16" s="49" t="str">
        <f>IF(D16="","",(IF(OR('1. Site Drainage Areas'!$D$4="Tidal MS4",'1. Site Drainage Areas'!$D$4="Non-tidal MS4"),IF(AS16&gt;=0.5*AJ16,"Yes", "No"),"N/A")))</f>
        <v/>
      </c>
      <c r="AY16" s="49" t="str">
        <f>IF(D16="","",IF(AL16&gt;0,IF(AND(SUMIF('2. BMP Data'!$C$7:$C$55,'1. Site Drainage Areas'!D16,'2. BMP Data'!$N$7:$N$55)&gt;='1. Site Drainage Areas'!S16+'1. Site Drainage Areas'!AC16,COUNTIFS('2. BMP Data'!$C$7:$C$55,'1. Site Drainage Areas'!D16,'2. BMP Data'!$Y$7:$Y$55,"No")=0),"Yes","No"),"N/A"))</f>
        <v/>
      </c>
      <c r="AZ16" s="53" t="str">
        <f>IF(D16="","",IF(AND('1. Site Drainage Areas'!$D$4&lt;&gt;"Tidal MS4",'1. Site Drainage Areas'!$D$4&lt;&gt;"Non-tidal MS4"),"No",IF(AX16="Yes","No","Yes")))</f>
        <v/>
      </c>
      <c r="BA16" s="69" t="str">
        <f t="shared" si="21"/>
        <v/>
      </c>
      <c r="BB16" s="57" t="str">
        <f>IF(D16="","",IF('1. Site Drainage Areas'!$C$4="Yes",IF(AS16+AT16&gt;=AJ16+AK16,"Yes","No"),"N/A"))</f>
        <v/>
      </c>
      <c r="BC16" s="69" t="str">
        <f t="shared" si="26"/>
        <v/>
      </c>
      <c r="BD16" s="149" t="str">
        <f t="shared" si="27"/>
        <v/>
      </c>
      <c r="BE16" s="60"/>
      <c r="BF16" s="68" t="str">
        <f>IF(D16="","",SUMIF('2. BMP Data'!$C$7:$C$55,$D16,'2. BMP Data'!T$7:T$55))</f>
        <v/>
      </c>
      <c r="BG16" s="69" t="str">
        <f t="shared" si="23"/>
        <v/>
      </c>
      <c r="BH16" s="53"/>
      <c r="BI16" s="116"/>
      <c r="BJ16" s="116"/>
    </row>
    <row r="17" spans="4:62" s="52" customFormat="1" x14ac:dyDescent="0.3">
      <c r="D17" s="155"/>
      <c r="E17" s="156"/>
      <c r="F17" s="157"/>
      <c r="G17" s="158"/>
      <c r="H17" s="158"/>
      <c r="I17" s="158"/>
      <c r="J17" s="67" t="str">
        <f t="shared" si="24"/>
        <v/>
      </c>
      <c r="K17" s="157"/>
      <c r="L17" s="158"/>
      <c r="M17" s="158"/>
      <c r="N17" s="158"/>
      <c r="O17" s="67" t="str">
        <f t="shared" si="25"/>
        <v/>
      </c>
      <c r="P17" s="157"/>
      <c r="Q17" s="158"/>
      <c r="R17" s="158"/>
      <c r="S17" s="158"/>
      <c r="T17" s="158"/>
      <c r="U17" s="69" t="str">
        <f t="shared" si="12"/>
        <v/>
      </c>
      <c r="V17" s="55">
        <f t="shared" si="3"/>
        <v>0</v>
      </c>
      <c r="W17" s="55">
        <f t="shared" si="4"/>
        <v>0</v>
      </c>
      <c r="X17" s="55">
        <f t="shared" si="5"/>
        <v>0</v>
      </c>
      <c r="Y17" s="54" t="str">
        <f t="shared" si="13"/>
        <v/>
      </c>
      <c r="Z17" s="165"/>
      <c r="AA17" s="158"/>
      <c r="AB17" s="158"/>
      <c r="AC17" s="158"/>
      <c r="AD17" s="158"/>
      <c r="AE17" s="69" t="str">
        <f t="shared" si="14"/>
        <v/>
      </c>
      <c r="AF17" s="55">
        <f t="shared" si="15"/>
        <v>0</v>
      </c>
      <c r="AG17" s="55">
        <f t="shared" si="16"/>
        <v>0</v>
      </c>
      <c r="AH17" s="55">
        <f t="shared" si="17"/>
        <v>0</v>
      </c>
      <c r="AI17" s="88" t="str">
        <f t="shared" si="18"/>
        <v/>
      </c>
      <c r="AJ17" s="87" t="str">
        <f>IF(D17="","",('Site Data'!$N$19/12*U17*Y17+'Site Data'!$U$19/12*AE17*AI17))</f>
        <v/>
      </c>
      <c r="AK17" s="69" t="str">
        <f>IF(D17="","",(IF('1. Site Drainage Areas'!$C$4="Yes",1.7/12*(U17*Y17+AE17*AI17)-AJ17,"N/A")))</f>
        <v/>
      </c>
      <c r="AL17" s="66" t="str">
        <f>IF(D17="","",IF(OR('1. Site Drainage Areas'!$D$4="Tidal MS4",'1. Site Drainage Areas'!$D$4="Non-tidal MS4"),IF(E17="yes",0,('Site Data'!$N$19/12*S17*0.95+'Site Data'!$U$19/12*AC17*0.95)),0))</f>
        <v/>
      </c>
      <c r="AM17" s="89" t="str">
        <f>IF(D17="","",SUMIF('2. BMP Data'!$C$7:$C$55,$D17,'2. BMP Data'!J$7:J$55))</f>
        <v/>
      </c>
      <c r="AN17" s="69" t="str">
        <f>IF(D17="","",SUMIF('2. BMP Data'!$C$7:$C$55,$D17,'2. BMP Data'!K$7:K$55))</f>
        <v/>
      </c>
      <c r="AO17" s="69" t="str">
        <f>IF(D17="","",SUMIF('2. BMP Data'!$C$7:$C$55,$D17,'2. BMP Data'!L$7:L$55))</f>
        <v/>
      </c>
      <c r="AP17" s="69" t="str">
        <f>IF(D17="","",SUMIF('2. BMP Data'!$C$7:$C$55,$D17,'2. BMP Data'!M$7:M$55))</f>
        <v/>
      </c>
      <c r="AQ17" s="67" t="str">
        <f>IF(D17="","",SUMIF('2. BMP Data'!$C$7:$C$55,$D17,'2. BMP Data'!P$7:P$55))</f>
        <v/>
      </c>
      <c r="AR17" s="68" t="str">
        <f>IF(D17="","",SUMIF('2. BMP Data'!$C$7:$C$55,$D17,'2. BMP Data'!S$7:S$55))</f>
        <v/>
      </c>
      <c r="AS17" s="68" t="str">
        <f>IF(D17="","",SUMIF('2. BMP Data'!$C$7:$C$55,$D17,'2. BMP Data'!T$7:T$55))</f>
        <v/>
      </c>
      <c r="AT17" s="69" t="str">
        <f>IF(D17="","",SUMIF('2. BMP Data'!$C$7:$C$55,$D17,'2. BMP Data'!V$7:V$55))</f>
        <v/>
      </c>
      <c r="AU17" s="69" t="str">
        <f t="shared" si="19"/>
        <v/>
      </c>
      <c r="AV17" s="69" t="str">
        <f t="shared" si="20"/>
        <v/>
      </c>
      <c r="AW17" s="49" t="str">
        <f>IF(D17="","",(IF(AND(E17="Yes",AV17&lt;&gt;0),"Follow DOEE MEP Procedure",IF('1. Site Drainage Areas'!$C$4="No",IF(AV17=0,"Required SWRv exceeded by "&amp;ROUND((AS17-AJ17)*7.48,0)&amp;" gallons which may be able to be used to generate SRCs.","Off Site Retention may be needed."), IF(AV17=0,"Required SWRv exceeded by "&amp;ROUND((AS17-AJ17)*7.48,0)&amp;" gallons which contributes to meeting WQTv requirements.","Off Site Retention may be needed.")))))</f>
        <v/>
      </c>
      <c r="AX17" s="49" t="str">
        <f>IF(D17="","",(IF(OR('1. Site Drainage Areas'!$D$4="Tidal MS4",'1. Site Drainage Areas'!$D$4="Non-tidal MS4"),IF(AS17&gt;=0.5*AJ17,"Yes", "No"),"N/A")))</f>
        <v/>
      </c>
      <c r="AY17" s="49" t="str">
        <f>IF(D17="","",IF(AL17&gt;0,IF(AND(SUMIF('2. BMP Data'!$C$7:$C$55,'1. Site Drainage Areas'!D17,'2. BMP Data'!$N$7:$N$55)&gt;='1. Site Drainage Areas'!S17+'1. Site Drainage Areas'!AC17,COUNTIFS('2. BMP Data'!$C$7:$C$55,'1. Site Drainage Areas'!D17,'2. BMP Data'!$Y$7:$Y$55,"No")=0),"Yes","No"),"N/A"))</f>
        <v/>
      </c>
      <c r="AZ17" s="53" t="str">
        <f>IF(D17="","",IF(AND('1. Site Drainage Areas'!$D$4&lt;&gt;"Tidal MS4",'1. Site Drainage Areas'!$D$4&lt;&gt;"Non-tidal MS4"),"No",IF(AX17="Yes","No","Yes")))</f>
        <v/>
      </c>
      <c r="BA17" s="69" t="str">
        <f t="shared" si="21"/>
        <v/>
      </c>
      <c r="BB17" s="57" t="str">
        <f>IF(D17="","",IF('1. Site Drainage Areas'!$C$4="Yes",IF(AS17+AT17&gt;=AJ17+AK17,"Yes","No"),"N/A"))</f>
        <v/>
      </c>
      <c r="BC17" s="69" t="str">
        <f t="shared" si="26"/>
        <v/>
      </c>
      <c r="BD17" s="149" t="str">
        <f t="shared" si="27"/>
        <v/>
      </c>
      <c r="BE17" s="60"/>
      <c r="BF17" s="68" t="str">
        <f>IF(D17="","",SUMIF('2. BMP Data'!$C$7:$C$55,$D17,'2. BMP Data'!T$7:T$55))</f>
        <v/>
      </c>
      <c r="BG17" s="69" t="str">
        <f t="shared" si="23"/>
        <v/>
      </c>
      <c r="BH17" s="53"/>
      <c r="BI17" s="116"/>
      <c r="BJ17" s="116"/>
    </row>
    <row r="18" spans="4:62" s="52" customFormat="1" x14ac:dyDescent="0.3">
      <c r="D18" s="155"/>
      <c r="E18" s="156"/>
      <c r="F18" s="157"/>
      <c r="G18" s="158"/>
      <c r="H18" s="158"/>
      <c r="I18" s="158"/>
      <c r="J18" s="67" t="str">
        <f t="shared" si="24"/>
        <v/>
      </c>
      <c r="K18" s="157"/>
      <c r="L18" s="158"/>
      <c r="M18" s="158"/>
      <c r="N18" s="158"/>
      <c r="O18" s="67" t="str">
        <f t="shared" si="25"/>
        <v/>
      </c>
      <c r="P18" s="157"/>
      <c r="Q18" s="158"/>
      <c r="R18" s="158"/>
      <c r="S18" s="158"/>
      <c r="T18" s="158"/>
      <c r="U18" s="69" t="str">
        <f t="shared" si="12"/>
        <v/>
      </c>
      <c r="V18" s="55">
        <f t="shared" si="3"/>
        <v>0</v>
      </c>
      <c r="W18" s="55">
        <f t="shared" si="4"/>
        <v>0</v>
      </c>
      <c r="X18" s="55">
        <f t="shared" si="5"/>
        <v>0</v>
      </c>
      <c r="Y18" s="54" t="str">
        <f t="shared" si="13"/>
        <v/>
      </c>
      <c r="Z18" s="165"/>
      <c r="AA18" s="158"/>
      <c r="AB18" s="158"/>
      <c r="AC18" s="158"/>
      <c r="AD18" s="158"/>
      <c r="AE18" s="69" t="str">
        <f t="shared" si="14"/>
        <v/>
      </c>
      <c r="AF18" s="55">
        <f t="shared" si="15"/>
        <v>0</v>
      </c>
      <c r="AG18" s="55">
        <f t="shared" si="16"/>
        <v>0</v>
      </c>
      <c r="AH18" s="55">
        <f t="shared" si="17"/>
        <v>0</v>
      </c>
      <c r="AI18" s="88" t="str">
        <f t="shared" si="18"/>
        <v/>
      </c>
      <c r="AJ18" s="87" t="str">
        <f>IF(D18="","",('Site Data'!$N$19/12*U18*Y18+'Site Data'!$U$19/12*AE18*AI18))</f>
        <v/>
      </c>
      <c r="AK18" s="69" t="str">
        <f>IF(D18="","",(IF('1. Site Drainage Areas'!$C$4="Yes",1.7/12*(U18*Y18+AE18*AI18)-AJ18,"N/A")))</f>
        <v/>
      </c>
      <c r="AL18" s="66" t="str">
        <f>IF(D18="","",IF(OR('1. Site Drainage Areas'!$D$4="Tidal MS4",'1. Site Drainage Areas'!$D$4="Non-tidal MS4"),IF(E18="yes",0,('Site Data'!$N$19/12*S18*0.95+'Site Data'!$U$19/12*AC18*0.95)),0))</f>
        <v/>
      </c>
      <c r="AM18" s="89" t="str">
        <f>IF(D18="","",SUMIF('2. BMP Data'!$C$7:$C$55,$D18,'2. BMP Data'!J$7:J$55))</f>
        <v/>
      </c>
      <c r="AN18" s="69" t="str">
        <f>IF(D18="","",SUMIF('2. BMP Data'!$C$7:$C$55,$D18,'2. BMP Data'!K$7:K$55))</f>
        <v/>
      </c>
      <c r="AO18" s="69" t="str">
        <f>IF(D18="","",SUMIF('2. BMP Data'!$C$7:$C$55,$D18,'2. BMP Data'!L$7:L$55))</f>
        <v/>
      </c>
      <c r="AP18" s="69" t="str">
        <f>IF(D18="","",SUMIF('2. BMP Data'!$C$7:$C$55,$D18,'2. BMP Data'!M$7:M$55))</f>
        <v/>
      </c>
      <c r="AQ18" s="67" t="str">
        <f>IF(D18="","",SUMIF('2. BMP Data'!$C$7:$C$55,$D18,'2. BMP Data'!P$7:P$55))</f>
        <v/>
      </c>
      <c r="AR18" s="68" t="str">
        <f>IF(D18="","",SUMIF('2. BMP Data'!$C$7:$C$55,$D18,'2. BMP Data'!S$7:S$55))</f>
        <v/>
      </c>
      <c r="AS18" s="68" t="str">
        <f>IF(D18="","",SUMIF('2. BMP Data'!$C$7:$C$55,$D18,'2. BMP Data'!T$7:T$55))</f>
        <v/>
      </c>
      <c r="AT18" s="69" t="str">
        <f>IF(D18="","",SUMIF('2. BMP Data'!$C$7:$C$55,$D18,'2. BMP Data'!V$7:V$55))</f>
        <v/>
      </c>
      <c r="AU18" s="69" t="str">
        <f t="shared" si="19"/>
        <v/>
      </c>
      <c r="AV18" s="69" t="str">
        <f t="shared" si="20"/>
        <v/>
      </c>
      <c r="AW18" s="49" t="str">
        <f>IF(D18="","",(IF(AND(E18="Yes",AV18&lt;&gt;0),"Follow DOEE MEP Procedure",IF('1. Site Drainage Areas'!$C$4="No",IF(AV18=0,"Required SWRv exceeded by "&amp;ROUND((AS18-AJ18)*7.48,0)&amp;" gallons which may be able to be used to generate SRCs.","Off Site Retention may be needed."), IF(AV18=0,"Required SWRv exceeded by "&amp;ROUND((AS18-AJ18)*7.48,0)&amp;" gallons which contributes to meeting WQTv requirements.","Off Site Retention may be needed.")))))</f>
        <v/>
      </c>
      <c r="AX18" s="49" t="str">
        <f>IF(D18="","",(IF(OR('1. Site Drainage Areas'!$D$4="Tidal MS4",'1. Site Drainage Areas'!$D$4="Non-tidal MS4"),IF(AS18&gt;=0.5*AJ18,"Yes", "No"),"N/A")))</f>
        <v/>
      </c>
      <c r="AY18" s="49" t="str">
        <f>IF(D18="","",IF(AL18&gt;0,IF(AND(SUMIF('2. BMP Data'!$C$7:$C$55,'1. Site Drainage Areas'!D18,'2. BMP Data'!$N$7:$N$55)&gt;='1. Site Drainage Areas'!S18+'1. Site Drainage Areas'!AC18,COUNTIFS('2. BMP Data'!$C$7:$C$55,'1. Site Drainage Areas'!D18,'2. BMP Data'!$Y$7:$Y$55,"No")=0),"Yes","No"),"N/A"))</f>
        <v/>
      </c>
      <c r="AZ18" s="53" t="str">
        <f>IF(D18="","",IF(AND('1. Site Drainage Areas'!$D$4&lt;&gt;"Tidal MS4",'1. Site Drainage Areas'!$D$4&lt;&gt;"Non-tidal MS4"),"No",IF(AX18="Yes","No","Yes")))</f>
        <v/>
      </c>
      <c r="BA18" s="69" t="str">
        <f t="shared" si="21"/>
        <v/>
      </c>
      <c r="BB18" s="57" t="str">
        <f>IF(D18="","",IF('1. Site Drainage Areas'!$C$4="Yes",IF(AS18+AT18&gt;=AJ18+AK18,"Yes","No"),"N/A"))</f>
        <v/>
      </c>
      <c r="BC18" s="69" t="str">
        <f t="shared" si="26"/>
        <v/>
      </c>
      <c r="BD18" s="149" t="str">
        <f t="shared" si="27"/>
        <v/>
      </c>
      <c r="BE18" s="60"/>
      <c r="BF18" s="68" t="str">
        <f>IF(D18="","",SUMIF('2. BMP Data'!$C$7:$C$55,$D18,'2. BMP Data'!T$7:T$55))</f>
        <v/>
      </c>
      <c r="BG18" s="69" t="str">
        <f t="shared" si="23"/>
        <v/>
      </c>
      <c r="BH18" s="53"/>
      <c r="BI18" s="116"/>
      <c r="BJ18" s="116"/>
    </row>
    <row r="19" spans="4:62" s="52" customFormat="1" x14ac:dyDescent="0.3">
      <c r="D19" s="155"/>
      <c r="E19" s="156"/>
      <c r="F19" s="157"/>
      <c r="G19" s="158"/>
      <c r="H19" s="158"/>
      <c r="I19" s="158"/>
      <c r="J19" s="67" t="str">
        <f t="shared" si="24"/>
        <v/>
      </c>
      <c r="K19" s="157"/>
      <c r="L19" s="158"/>
      <c r="M19" s="158"/>
      <c r="N19" s="158"/>
      <c r="O19" s="67" t="str">
        <f t="shared" si="25"/>
        <v/>
      </c>
      <c r="P19" s="157"/>
      <c r="Q19" s="158"/>
      <c r="R19" s="158"/>
      <c r="S19" s="158"/>
      <c r="T19" s="158"/>
      <c r="U19" s="69" t="str">
        <f t="shared" si="12"/>
        <v/>
      </c>
      <c r="V19" s="55">
        <f t="shared" si="3"/>
        <v>0</v>
      </c>
      <c r="W19" s="55">
        <f t="shared" si="4"/>
        <v>0</v>
      </c>
      <c r="X19" s="55">
        <f t="shared" si="5"/>
        <v>0</v>
      </c>
      <c r="Y19" s="54" t="str">
        <f t="shared" si="13"/>
        <v/>
      </c>
      <c r="Z19" s="165"/>
      <c r="AA19" s="158"/>
      <c r="AB19" s="158"/>
      <c r="AC19" s="158"/>
      <c r="AD19" s="158"/>
      <c r="AE19" s="69" t="str">
        <f t="shared" si="14"/>
        <v/>
      </c>
      <c r="AF19" s="55">
        <f t="shared" si="15"/>
        <v>0</v>
      </c>
      <c r="AG19" s="55">
        <f t="shared" si="16"/>
        <v>0</v>
      </c>
      <c r="AH19" s="55">
        <f t="shared" si="17"/>
        <v>0</v>
      </c>
      <c r="AI19" s="88" t="str">
        <f t="shared" si="18"/>
        <v/>
      </c>
      <c r="AJ19" s="87" t="str">
        <f>IF(D19="","",('Site Data'!$N$19/12*U19*Y19+'Site Data'!$U$19/12*AE19*AI19))</f>
        <v/>
      </c>
      <c r="AK19" s="69" t="str">
        <f>IF(D19="","",(IF('1. Site Drainage Areas'!$C$4="Yes",1.7/12*(U19*Y19+AE19*AI19)-AJ19,"N/A")))</f>
        <v/>
      </c>
      <c r="AL19" s="66" t="str">
        <f>IF(D19="","",IF(OR('1. Site Drainage Areas'!$D$4="Tidal MS4",'1. Site Drainage Areas'!$D$4="Non-tidal MS4"),IF(E19="yes",0,('Site Data'!$N$19/12*S19*0.95+'Site Data'!$U$19/12*AC19*0.95)),0))</f>
        <v/>
      </c>
      <c r="AM19" s="89" t="str">
        <f>IF(D19="","",SUMIF('2. BMP Data'!$C$7:$C$55,$D19,'2. BMP Data'!J$7:J$55))</f>
        <v/>
      </c>
      <c r="AN19" s="69" t="str">
        <f>IF(D19="","",SUMIF('2. BMP Data'!$C$7:$C$55,$D19,'2. BMP Data'!K$7:K$55))</f>
        <v/>
      </c>
      <c r="AO19" s="69" t="str">
        <f>IF(D19="","",SUMIF('2. BMP Data'!$C$7:$C$55,$D19,'2. BMP Data'!L$7:L$55))</f>
        <v/>
      </c>
      <c r="AP19" s="69" t="str">
        <f>IF(D19="","",SUMIF('2. BMP Data'!$C$7:$C$55,$D19,'2. BMP Data'!M$7:M$55))</f>
        <v/>
      </c>
      <c r="AQ19" s="67" t="str">
        <f>IF(D19="","",SUMIF('2. BMP Data'!$C$7:$C$55,$D19,'2. BMP Data'!P$7:P$55))</f>
        <v/>
      </c>
      <c r="AR19" s="68" t="str">
        <f>IF(D19="","",SUMIF('2. BMP Data'!$C$7:$C$55,$D19,'2. BMP Data'!S$7:S$55))</f>
        <v/>
      </c>
      <c r="AS19" s="68" t="str">
        <f>IF(D19="","",SUMIF('2. BMP Data'!$C$7:$C$55,$D19,'2. BMP Data'!T$7:T$55))</f>
        <v/>
      </c>
      <c r="AT19" s="69" t="str">
        <f>IF(D19="","",SUMIF('2. BMP Data'!$C$7:$C$55,$D19,'2. BMP Data'!V$7:V$55))</f>
        <v/>
      </c>
      <c r="AU19" s="69" t="str">
        <f t="shared" si="19"/>
        <v/>
      </c>
      <c r="AV19" s="69" t="str">
        <f t="shared" si="20"/>
        <v/>
      </c>
      <c r="AW19" s="49" t="str">
        <f>IF(D19="","",(IF(AND(E19="Yes",AV19&lt;&gt;0),"Follow DOEE MEP Procedure",IF('1. Site Drainage Areas'!$C$4="No",IF(AV19=0,"Required SWRv exceeded by "&amp;ROUND((AS19-AJ19)*7.48,0)&amp;" gallons which may be able to be used to generate SRCs.","Off Site Retention may be needed."), IF(AV19=0,"Required SWRv exceeded by "&amp;ROUND((AS19-AJ19)*7.48,0)&amp;" gallons which contributes to meeting WQTv requirements.","Off Site Retention may be needed.")))))</f>
        <v/>
      </c>
      <c r="AX19" s="49" t="str">
        <f>IF(D19="","",(IF(OR('1. Site Drainage Areas'!$D$4="Tidal MS4",'1. Site Drainage Areas'!$D$4="Non-tidal MS4"),IF(AS19&gt;=0.5*AJ19,"Yes", "No"),"N/A")))</f>
        <v/>
      </c>
      <c r="AY19" s="49" t="str">
        <f>IF(D19="","",IF(AL19&gt;0,IF(AND(SUMIF('2. BMP Data'!$C$7:$C$55,'1. Site Drainage Areas'!D19,'2. BMP Data'!$N$7:$N$55)&gt;='1. Site Drainage Areas'!S19+'1. Site Drainage Areas'!AC19,COUNTIFS('2. BMP Data'!$C$7:$C$55,'1. Site Drainage Areas'!D19,'2. BMP Data'!$Y$7:$Y$55,"No")=0),"Yes","No"),"N/A"))</f>
        <v/>
      </c>
      <c r="AZ19" s="53" t="str">
        <f>IF(D19="","",IF(AND('1. Site Drainage Areas'!$D$4&lt;&gt;"Tidal MS4",'1. Site Drainage Areas'!$D$4&lt;&gt;"Non-tidal MS4"),"No",IF(AX19="Yes","No","Yes")))</f>
        <v/>
      </c>
      <c r="BA19" s="69" t="str">
        <f t="shared" si="21"/>
        <v/>
      </c>
      <c r="BB19" s="57" t="str">
        <f>IF(D19="","",IF('1. Site Drainage Areas'!$C$4="Yes",IF(AS19+AT19&gt;=AJ19+AK19,"Yes","No"),"N/A"))</f>
        <v/>
      </c>
      <c r="BC19" s="69" t="str">
        <f t="shared" si="26"/>
        <v/>
      </c>
      <c r="BD19" s="149" t="str">
        <f t="shared" si="27"/>
        <v/>
      </c>
      <c r="BE19" s="60"/>
      <c r="BF19" s="68" t="str">
        <f>IF(D19="","",SUMIF('2. BMP Data'!$C$7:$C$55,$D19,'2. BMP Data'!T$7:T$55))</f>
        <v/>
      </c>
      <c r="BG19" s="69" t="str">
        <f t="shared" si="23"/>
        <v/>
      </c>
      <c r="BH19" s="53"/>
      <c r="BI19" s="116"/>
      <c r="BJ19" s="116"/>
    </row>
    <row r="20" spans="4:62" s="52" customFormat="1" x14ac:dyDescent="0.3">
      <c r="D20" s="155"/>
      <c r="E20" s="156"/>
      <c r="F20" s="157"/>
      <c r="G20" s="158"/>
      <c r="H20" s="158"/>
      <c r="I20" s="158"/>
      <c r="J20" s="67" t="str">
        <f t="shared" si="24"/>
        <v/>
      </c>
      <c r="K20" s="157"/>
      <c r="L20" s="158"/>
      <c r="M20" s="158"/>
      <c r="N20" s="158"/>
      <c r="O20" s="67" t="str">
        <f t="shared" si="25"/>
        <v/>
      </c>
      <c r="P20" s="157"/>
      <c r="Q20" s="158"/>
      <c r="R20" s="158"/>
      <c r="S20" s="158"/>
      <c r="T20" s="158"/>
      <c r="U20" s="69" t="str">
        <f t="shared" si="12"/>
        <v/>
      </c>
      <c r="V20" s="55">
        <f t="shared" si="3"/>
        <v>0</v>
      </c>
      <c r="W20" s="55">
        <f t="shared" si="4"/>
        <v>0</v>
      </c>
      <c r="X20" s="55">
        <f t="shared" si="5"/>
        <v>0</v>
      </c>
      <c r="Y20" s="54" t="str">
        <f t="shared" si="13"/>
        <v/>
      </c>
      <c r="Z20" s="165"/>
      <c r="AA20" s="158"/>
      <c r="AB20" s="158"/>
      <c r="AC20" s="158"/>
      <c r="AD20" s="158"/>
      <c r="AE20" s="69" t="str">
        <f t="shared" si="14"/>
        <v/>
      </c>
      <c r="AF20" s="55">
        <f t="shared" si="15"/>
        <v>0</v>
      </c>
      <c r="AG20" s="55">
        <f t="shared" si="16"/>
        <v>0</v>
      </c>
      <c r="AH20" s="55">
        <f t="shared" si="17"/>
        <v>0</v>
      </c>
      <c r="AI20" s="88" t="str">
        <f t="shared" si="18"/>
        <v/>
      </c>
      <c r="AJ20" s="87" t="str">
        <f>IF(D20="","",('Site Data'!$N$19/12*U20*Y20+'Site Data'!$U$19/12*AE20*AI20))</f>
        <v/>
      </c>
      <c r="AK20" s="69" t="str">
        <f>IF(D20="","",(IF('1. Site Drainage Areas'!$C$4="Yes",1.7/12*(U20*Y20+AE20*AI20)-AJ20,"N/A")))</f>
        <v/>
      </c>
      <c r="AL20" s="66" t="str">
        <f>IF(D20="","",IF(OR('1. Site Drainage Areas'!$D$4="Tidal MS4",'1. Site Drainage Areas'!$D$4="Non-tidal MS4"),IF(E20="yes",0,('Site Data'!$N$19/12*S20*0.95+'Site Data'!$U$19/12*AC20*0.95)),0))</f>
        <v/>
      </c>
      <c r="AM20" s="89" t="str">
        <f>IF(D20="","",SUMIF('2. BMP Data'!$C$7:$C$55,$D20,'2. BMP Data'!J$7:J$55))</f>
        <v/>
      </c>
      <c r="AN20" s="69" t="str">
        <f>IF(D20="","",SUMIF('2. BMP Data'!$C$7:$C$55,$D20,'2. BMP Data'!K$7:K$55))</f>
        <v/>
      </c>
      <c r="AO20" s="69" t="str">
        <f>IF(D20="","",SUMIF('2. BMP Data'!$C$7:$C$55,$D20,'2. BMP Data'!L$7:L$55))</f>
        <v/>
      </c>
      <c r="AP20" s="69" t="str">
        <f>IF(D20="","",SUMIF('2. BMP Data'!$C$7:$C$55,$D20,'2. BMP Data'!M$7:M$55))</f>
        <v/>
      </c>
      <c r="AQ20" s="67" t="str">
        <f>IF(D20="","",SUMIF('2. BMP Data'!$C$7:$C$55,$D20,'2. BMP Data'!P$7:P$55))</f>
        <v/>
      </c>
      <c r="AR20" s="68" t="str">
        <f>IF(D20="","",SUMIF('2. BMP Data'!$C$7:$C$55,$D20,'2. BMP Data'!S$7:S$55))</f>
        <v/>
      </c>
      <c r="AS20" s="68" t="str">
        <f>IF(D20="","",SUMIF('2. BMP Data'!$C$7:$C$55,$D20,'2. BMP Data'!T$7:T$55))</f>
        <v/>
      </c>
      <c r="AT20" s="69" t="str">
        <f>IF(D20="","",SUMIF('2. BMP Data'!$C$7:$C$55,$D20,'2. BMP Data'!V$7:V$55))</f>
        <v/>
      </c>
      <c r="AU20" s="69" t="str">
        <f t="shared" si="19"/>
        <v/>
      </c>
      <c r="AV20" s="69" t="str">
        <f t="shared" si="20"/>
        <v/>
      </c>
      <c r="AW20" s="49" t="str">
        <f>IF(D20="","",(IF(AND(E20="Yes",AV20&lt;&gt;0),"Follow DOEE MEP Procedure",IF('1. Site Drainage Areas'!$C$4="No",IF(AV20=0,"Required SWRv exceeded by "&amp;ROUND((AS20-AJ20)*7.48,0)&amp;" gallons which may be able to be used to generate SRCs.","Off Site Retention may be needed."), IF(AV20=0,"Required SWRv exceeded by "&amp;ROUND((AS20-AJ20)*7.48,0)&amp;" gallons which contributes to meeting WQTv requirements.","Off Site Retention may be needed.")))))</f>
        <v/>
      </c>
      <c r="AX20" s="49" t="str">
        <f>IF(D20="","",(IF(OR('1. Site Drainage Areas'!$D$4="Tidal MS4",'1. Site Drainage Areas'!$D$4="Non-tidal MS4"),IF(AS20&gt;=0.5*AJ20,"Yes", "No"),"N/A")))</f>
        <v/>
      </c>
      <c r="AY20" s="49" t="str">
        <f>IF(D20="","",IF(AL20&gt;0,IF(AND(SUMIF('2. BMP Data'!$C$7:$C$55,'1. Site Drainage Areas'!D20,'2. BMP Data'!$N$7:$N$55)&gt;='1. Site Drainage Areas'!S20+'1. Site Drainage Areas'!AC20,COUNTIFS('2. BMP Data'!$C$7:$C$55,'1. Site Drainage Areas'!D20,'2. BMP Data'!$Y$7:$Y$55,"No")=0),"Yes","No"),"N/A"))</f>
        <v/>
      </c>
      <c r="AZ20" s="53" t="str">
        <f>IF(D20="","",IF(AND('1. Site Drainage Areas'!$D$4&lt;&gt;"Tidal MS4",'1. Site Drainage Areas'!$D$4&lt;&gt;"Non-tidal MS4"),"No",IF(AX20="Yes","No","Yes")))</f>
        <v/>
      </c>
      <c r="BA20" s="69" t="str">
        <f t="shared" si="21"/>
        <v/>
      </c>
      <c r="BB20" s="57" t="str">
        <f>IF(D20="","",IF('1. Site Drainage Areas'!$C$4="Yes",IF(AS20+AT20&gt;=AJ20+AK20,"Yes","No"),"N/A"))</f>
        <v/>
      </c>
      <c r="BC20" s="69" t="str">
        <f t="shared" si="26"/>
        <v/>
      </c>
      <c r="BD20" s="149" t="str">
        <f t="shared" si="27"/>
        <v/>
      </c>
      <c r="BE20" s="60"/>
      <c r="BF20" s="68" t="str">
        <f>IF(D20="","",SUMIF('2. BMP Data'!$C$7:$C$55,$D20,'2. BMP Data'!T$7:T$55))</f>
        <v/>
      </c>
      <c r="BG20" s="69" t="str">
        <f t="shared" si="23"/>
        <v/>
      </c>
      <c r="BH20" s="53"/>
      <c r="BI20" s="116"/>
      <c r="BJ20" s="116"/>
    </row>
    <row r="21" spans="4:62" s="52" customFormat="1" x14ac:dyDescent="0.3">
      <c r="D21" s="155"/>
      <c r="E21" s="156"/>
      <c r="F21" s="157"/>
      <c r="G21" s="158"/>
      <c r="H21" s="158"/>
      <c r="I21" s="158"/>
      <c r="J21" s="67" t="str">
        <f t="shared" si="24"/>
        <v/>
      </c>
      <c r="K21" s="157"/>
      <c r="L21" s="158"/>
      <c r="M21" s="158"/>
      <c r="N21" s="158"/>
      <c r="O21" s="67" t="str">
        <f t="shared" si="25"/>
        <v/>
      </c>
      <c r="P21" s="157"/>
      <c r="Q21" s="158"/>
      <c r="R21" s="158"/>
      <c r="S21" s="158"/>
      <c r="T21" s="158"/>
      <c r="U21" s="69" t="str">
        <f t="shared" si="12"/>
        <v/>
      </c>
      <c r="V21" s="55">
        <f t="shared" si="3"/>
        <v>0</v>
      </c>
      <c r="W21" s="55">
        <f t="shared" si="4"/>
        <v>0</v>
      </c>
      <c r="X21" s="55">
        <f t="shared" si="5"/>
        <v>0</v>
      </c>
      <c r="Y21" s="54" t="str">
        <f t="shared" si="13"/>
        <v/>
      </c>
      <c r="Z21" s="165"/>
      <c r="AA21" s="158"/>
      <c r="AB21" s="158"/>
      <c r="AC21" s="158"/>
      <c r="AD21" s="158"/>
      <c r="AE21" s="69" t="str">
        <f t="shared" si="14"/>
        <v/>
      </c>
      <c r="AF21" s="55">
        <f t="shared" si="15"/>
        <v>0</v>
      </c>
      <c r="AG21" s="55">
        <f t="shared" si="16"/>
        <v>0</v>
      </c>
      <c r="AH21" s="55">
        <f t="shared" si="17"/>
        <v>0</v>
      </c>
      <c r="AI21" s="88" t="str">
        <f t="shared" si="18"/>
        <v/>
      </c>
      <c r="AJ21" s="87" t="str">
        <f>IF(D21="","",('Site Data'!$N$19/12*U21*Y21+'Site Data'!$U$19/12*AE21*AI21))</f>
        <v/>
      </c>
      <c r="AK21" s="69" t="str">
        <f>IF(D21="","",(IF('1. Site Drainage Areas'!$C$4="Yes",1.7/12*(U21*Y21+AE21*AI21)-AJ21,"N/A")))</f>
        <v/>
      </c>
      <c r="AL21" s="66" t="str">
        <f>IF(D21="","",IF(OR('1. Site Drainage Areas'!$D$4="Tidal MS4",'1. Site Drainage Areas'!$D$4="Non-tidal MS4"),IF(E21="yes",0,('Site Data'!$N$19/12*S21*0.95+'Site Data'!$U$19/12*AC21*0.95)),0))</f>
        <v/>
      </c>
      <c r="AM21" s="89" t="str">
        <f>IF(D21="","",SUMIF('2. BMP Data'!$C$7:$C$55,$D21,'2. BMP Data'!J$7:J$55))</f>
        <v/>
      </c>
      <c r="AN21" s="69" t="str">
        <f>IF(D21="","",SUMIF('2. BMP Data'!$C$7:$C$55,$D21,'2. BMP Data'!K$7:K$55))</f>
        <v/>
      </c>
      <c r="AO21" s="69" t="str">
        <f>IF(D21="","",SUMIF('2. BMP Data'!$C$7:$C$55,$D21,'2. BMP Data'!L$7:L$55))</f>
        <v/>
      </c>
      <c r="AP21" s="69" t="str">
        <f>IF(D21="","",SUMIF('2. BMP Data'!$C$7:$C$55,$D21,'2. BMP Data'!M$7:M$55))</f>
        <v/>
      </c>
      <c r="AQ21" s="67" t="str">
        <f>IF(D21="","",SUMIF('2. BMP Data'!$C$7:$C$55,$D21,'2. BMP Data'!P$7:P$55))</f>
        <v/>
      </c>
      <c r="AR21" s="68" t="str">
        <f>IF(D21="","",SUMIF('2. BMP Data'!$C$7:$C$55,$D21,'2. BMP Data'!S$7:S$55))</f>
        <v/>
      </c>
      <c r="AS21" s="68" t="str">
        <f>IF(D21="","",SUMIF('2. BMP Data'!$C$7:$C$55,$D21,'2. BMP Data'!T$7:T$55))</f>
        <v/>
      </c>
      <c r="AT21" s="69" t="str">
        <f>IF(D21="","",SUMIF('2. BMP Data'!$C$7:$C$55,$D21,'2. BMP Data'!V$7:V$55))</f>
        <v/>
      </c>
      <c r="AU21" s="69" t="str">
        <f t="shared" si="19"/>
        <v/>
      </c>
      <c r="AV21" s="69" t="str">
        <f t="shared" si="20"/>
        <v/>
      </c>
      <c r="AW21" s="49" t="str">
        <f>IF(D21="","",(IF(AND(E21="Yes",AV21&lt;&gt;0),"Follow DOEE MEP Procedure",IF('1. Site Drainage Areas'!$C$4="No",IF(AV21=0,"Required SWRv exceeded by "&amp;ROUND((AS21-AJ21)*7.48,0)&amp;" gallons which may be able to be used to generate SRCs.","Off Site Retention may be needed."), IF(AV21=0,"Required SWRv exceeded by "&amp;ROUND((AS21-AJ21)*7.48,0)&amp;" gallons which contributes to meeting WQTv requirements.","Off Site Retention may be needed.")))))</f>
        <v/>
      </c>
      <c r="AX21" s="49" t="str">
        <f>IF(D21="","",(IF(OR('1. Site Drainage Areas'!$D$4="Tidal MS4",'1. Site Drainage Areas'!$D$4="Non-tidal MS4"),IF(AS21&gt;=0.5*AJ21,"Yes", "No"),"N/A")))</f>
        <v/>
      </c>
      <c r="AY21" s="49" t="str">
        <f>IF(D21="","",IF(AL21&gt;0,IF(AND(SUMIF('2. BMP Data'!$C$7:$C$55,'1. Site Drainage Areas'!D21,'2. BMP Data'!$N$7:$N$55)&gt;='1. Site Drainage Areas'!S21+'1. Site Drainage Areas'!AC21,COUNTIFS('2. BMP Data'!$C$7:$C$55,'1. Site Drainage Areas'!D21,'2. BMP Data'!$Y$7:$Y$55,"No")=0),"Yes","No"),"N/A"))</f>
        <v/>
      </c>
      <c r="AZ21" s="53" t="str">
        <f>IF(D21="","",IF(AND('1. Site Drainage Areas'!$D$4&lt;&gt;"Tidal MS4",'1. Site Drainage Areas'!$D$4&lt;&gt;"Non-tidal MS4"),"No",IF(AX21="Yes","No","Yes")))</f>
        <v/>
      </c>
      <c r="BA21" s="69" t="str">
        <f t="shared" si="21"/>
        <v/>
      </c>
      <c r="BB21" s="57" t="str">
        <f>IF(D21="","",IF('1. Site Drainage Areas'!$C$4="Yes",IF(AS21+AT21&gt;=AJ21+AK21,"Yes","No"),"N/A"))</f>
        <v/>
      </c>
      <c r="BC21" s="69" t="str">
        <f t="shared" si="26"/>
        <v/>
      </c>
      <c r="BD21" s="149" t="str">
        <f t="shared" si="27"/>
        <v/>
      </c>
      <c r="BE21" s="60"/>
      <c r="BF21" s="68" t="str">
        <f>IF(D21="","",SUMIF('2. BMP Data'!$C$7:$C$55,$D21,'2. BMP Data'!T$7:T$55))</f>
        <v/>
      </c>
      <c r="BG21" s="69" t="str">
        <f t="shared" si="23"/>
        <v/>
      </c>
      <c r="BH21" s="53"/>
      <c r="BI21" s="116"/>
      <c r="BJ21" s="116"/>
    </row>
    <row r="22" spans="4:62" s="52" customFormat="1" x14ac:dyDescent="0.3">
      <c r="D22" s="155"/>
      <c r="E22" s="156"/>
      <c r="F22" s="157"/>
      <c r="G22" s="158"/>
      <c r="H22" s="158"/>
      <c r="I22" s="158"/>
      <c r="J22" s="67" t="str">
        <f t="shared" si="24"/>
        <v/>
      </c>
      <c r="K22" s="157"/>
      <c r="L22" s="158"/>
      <c r="M22" s="158"/>
      <c r="N22" s="158"/>
      <c r="O22" s="67" t="str">
        <f t="shared" si="25"/>
        <v/>
      </c>
      <c r="P22" s="157"/>
      <c r="Q22" s="158"/>
      <c r="R22" s="158"/>
      <c r="S22" s="158"/>
      <c r="T22" s="158"/>
      <c r="U22" s="69" t="str">
        <f t="shared" si="12"/>
        <v/>
      </c>
      <c r="V22" s="55">
        <f t="shared" si="3"/>
        <v>0</v>
      </c>
      <c r="W22" s="55">
        <f t="shared" si="4"/>
        <v>0</v>
      </c>
      <c r="X22" s="55">
        <f t="shared" si="5"/>
        <v>0</v>
      </c>
      <c r="Y22" s="54" t="str">
        <f t="shared" si="13"/>
        <v/>
      </c>
      <c r="Z22" s="165"/>
      <c r="AA22" s="158"/>
      <c r="AB22" s="158"/>
      <c r="AC22" s="158"/>
      <c r="AD22" s="158"/>
      <c r="AE22" s="69" t="str">
        <f t="shared" si="14"/>
        <v/>
      </c>
      <c r="AF22" s="55">
        <f t="shared" si="15"/>
        <v>0</v>
      </c>
      <c r="AG22" s="55">
        <f t="shared" si="16"/>
        <v>0</v>
      </c>
      <c r="AH22" s="55">
        <f t="shared" si="17"/>
        <v>0</v>
      </c>
      <c r="AI22" s="88" t="str">
        <f t="shared" si="18"/>
        <v/>
      </c>
      <c r="AJ22" s="87" t="str">
        <f>IF(D22="","",('Site Data'!$N$19/12*U22*Y22+'Site Data'!$U$19/12*AE22*AI22))</f>
        <v/>
      </c>
      <c r="AK22" s="69" t="str">
        <f>IF(D22="","",(IF('1. Site Drainage Areas'!$C$4="Yes",1.7/12*(U22*Y22+AE22*AI22)-AJ22,"N/A")))</f>
        <v/>
      </c>
      <c r="AL22" s="66" t="str">
        <f>IF(D22="","",IF(OR('1. Site Drainage Areas'!$D$4="Tidal MS4",'1. Site Drainage Areas'!$D$4="Non-tidal MS4"),IF(E22="yes",0,('Site Data'!$N$19/12*S22*0.95+'Site Data'!$U$19/12*AC22*0.95)),0))</f>
        <v/>
      </c>
      <c r="AM22" s="89" t="str">
        <f>IF(D22="","",SUMIF('2. BMP Data'!$C$7:$C$55,$D22,'2. BMP Data'!J$7:J$55))</f>
        <v/>
      </c>
      <c r="AN22" s="69" t="str">
        <f>IF(D22="","",SUMIF('2. BMP Data'!$C$7:$C$55,$D22,'2. BMP Data'!K$7:K$55))</f>
        <v/>
      </c>
      <c r="AO22" s="69" t="str">
        <f>IF(D22="","",SUMIF('2. BMP Data'!$C$7:$C$55,$D22,'2. BMP Data'!L$7:L$55))</f>
        <v/>
      </c>
      <c r="AP22" s="69" t="str">
        <f>IF(D22="","",SUMIF('2. BMP Data'!$C$7:$C$55,$D22,'2. BMP Data'!M$7:M$55))</f>
        <v/>
      </c>
      <c r="AQ22" s="67" t="str">
        <f>IF(D22="","",SUMIF('2. BMP Data'!$C$7:$C$55,$D22,'2. BMP Data'!P$7:P$55))</f>
        <v/>
      </c>
      <c r="AR22" s="68" t="str">
        <f>IF(D22="","",SUMIF('2. BMP Data'!$C$7:$C$55,$D22,'2. BMP Data'!S$7:S$55))</f>
        <v/>
      </c>
      <c r="AS22" s="68" t="str">
        <f>IF(D22="","",SUMIF('2. BMP Data'!$C$7:$C$55,$D22,'2. BMP Data'!T$7:T$55))</f>
        <v/>
      </c>
      <c r="AT22" s="69" t="str">
        <f>IF(D22="","",SUMIF('2. BMP Data'!$C$7:$C$55,$D22,'2. BMP Data'!V$7:V$55))</f>
        <v/>
      </c>
      <c r="AU22" s="69" t="str">
        <f t="shared" si="19"/>
        <v/>
      </c>
      <c r="AV22" s="69" t="str">
        <f t="shared" si="20"/>
        <v/>
      </c>
      <c r="AW22" s="49" t="str">
        <f>IF(D22="","",(IF(AND(E22="Yes",AV22&lt;&gt;0),"Follow DOEE MEP Procedure",IF('1. Site Drainage Areas'!$C$4="No",IF(AV22=0,"Required SWRv exceeded by "&amp;ROUND((AS22-AJ22)*7.48,0)&amp;" gallons which may be able to be used to generate SRCs.","Off Site Retention may be needed."), IF(AV22=0,"Required SWRv exceeded by "&amp;ROUND((AS22-AJ22)*7.48,0)&amp;" gallons which contributes to meeting WQTv requirements.","Off Site Retention may be needed.")))))</f>
        <v/>
      </c>
      <c r="AX22" s="49" t="str">
        <f>IF(D22="","",(IF(OR('1. Site Drainage Areas'!$D$4="Tidal MS4",'1. Site Drainage Areas'!$D$4="Non-tidal MS4"),IF(AS22&gt;=0.5*AJ22,"Yes", "No"),"N/A")))</f>
        <v/>
      </c>
      <c r="AY22" s="49" t="str">
        <f>IF(D22="","",IF(AL22&gt;0,IF(AND(SUMIF('2. BMP Data'!$C$7:$C$55,'1. Site Drainage Areas'!D22,'2. BMP Data'!$N$7:$N$55)&gt;='1. Site Drainage Areas'!S22+'1. Site Drainage Areas'!AC22,COUNTIFS('2. BMP Data'!$C$7:$C$55,'1. Site Drainage Areas'!D22,'2. BMP Data'!$Y$7:$Y$55,"No")=0),"Yes","No"),"N/A"))</f>
        <v/>
      </c>
      <c r="AZ22" s="53" t="str">
        <f>IF(D22="","",IF(AND('1. Site Drainage Areas'!$D$4&lt;&gt;"Tidal MS4",'1. Site Drainage Areas'!$D$4&lt;&gt;"Non-tidal MS4"),"No",IF(AX22="Yes","No","Yes")))</f>
        <v/>
      </c>
      <c r="BA22" s="69" t="str">
        <f t="shared" si="21"/>
        <v/>
      </c>
      <c r="BB22" s="57" t="str">
        <f>IF(D22="","",IF('1. Site Drainage Areas'!$C$4="Yes",IF(AS22+AT22&gt;=AJ22+AK22,"Yes","No"),"N/A"))</f>
        <v/>
      </c>
      <c r="BC22" s="69" t="str">
        <f t="shared" si="26"/>
        <v/>
      </c>
      <c r="BD22" s="149" t="str">
        <f t="shared" si="27"/>
        <v/>
      </c>
      <c r="BE22" s="60"/>
      <c r="BF22" s="68" t="str">
        <f>IF(D22="","",SUMIF('2. BMP Data'!$C$7:$C$55,$D22,'2. BMP Data'!T$7:T$55))</f>
        <v/>
      </c>
      <c r="BG22" s="69" t="str">
        <f t="shared" si="23"/>
        <v/>
      </c>
      <c r="BH22" s="53"/>
      <c r="BI22" s="116"/>
      <c r="BJ22" s="116"/>
    </row>
    <row r="23" spans="4:62" s="52" customFormat="1" x14ac:dyDescent="0.3">
      <c r="D23" s="155"/>
      <c r="E23" s="156"/>
      <c r="F23" s="157"/>
      <c r="G23" s="158"/>
      <c r="H23" s="158"/>
      <c r="I23" s="158"/>
      <c r="J23" s="67" t="str">
        <f t="shared" si="24"/>
        <v/>
      </c>
      <c r="K23" s="157"/>
      <c r="L23" s="158"/>
      <c r="M23" s="158"/>
      <c r="N23" s="158"/>
      <c r="O23" s="67" t="str">
        <f t="shared" si="25"/>
        <v/>
      </c>
      <c r="P23" s="157"/>
      <c r="Q23" s="158"/>
      <c r="R23" s="158"/>
      <c r="S23" s="158"/>
      <c r="T23" s="158"/>
      <c r="U23" s="69" t="str">
        <f t="shared" si="12"/>
        <v/>
      </c>
      <c r="V23" s="55">
        <f t="shared" si="3"/>
        <v>0</v>
      </c>
      <c r="W23" s="55">
        <f t="shared" si="4"/>
        <v>0</v>
      </c>
      <c r="X23" s="55">
        <f t="shared" si="5"/>
        <v>0</v>
      </c>
      <c r="Y23" s="54" t="str">
        <f t="shared" si="13"/>
        <v/>
      </c>
      <c r="Z23" s="165"/>
      <c r="AA23" s="158"/>
      <c r="AB23" s="158"/>
      <c r="AC23" s="158"/>
      <c r="AD23" s="158"/>
      <c r="AE23" s="69" t="str">
        <f t="shared" si="14"/>
        <v/>
      </c>
      <c r="AF23" s="55">
        <f t="shared" si="15"/>
        <v>0</v>
      </c>
      <c r="AG23" s="55">
        <f t="shared" si="16"/>
        <v>0</v>
      </c>
      <c r="AH23" s="55">
        <f t="shared" si="17"/>
        <v>0</v>
      </c>
      <c r="AI23" s="88" t="str">
        <f t="shared" si="18"/>
        <v/>
      </c>
      <c r="AJ23" s="87" t="str">
        <f>IF(D23="","",('Site Data'!$N$19/12*U23*Y23+'Site Data'!$U$19/12*AE23*AI23))</f>
        <v/>
      </c>
      <c r="AK23" s="69" t="str">
        <f>IF(D23="","",(IF('1. Site Drainage Areas'!$C$4="Yes",1.7/12*(U23*Y23+AE23*AI23)-AJ23,"N/A")))</f>
        <v/>
      </c>
      <c r="AL23" s="66" t="str">
        <f>IF(D23="","",IF(OR('1. Site Drainage Areas'!$D$4="Tidal MS4",'1. Site Drainage Areas'!$D$4="Non-tidal MS4"),IF(E23="yes",0,('Site Data'!$N$19/12*S23*0.95+'Site Data'!$U$19/12*AC23*0.95)),0))</f>
        <v/>
      </c>
      <c r="AM23" s="89" t="str">
        <f>IF(D23="","",SUMIF('2. BMP Data'!$C$7:$C$55,$D23,'2. BMP Data'!J$7:J$55))</f>
        <v/>
      </c>
      <c r="AN23" s="69" t="str">
        <f>IF(D23="","",SUMIF('2. BMP Data'!$C$7:$C$55,$D23,'2. BMP Data'!K$7:K$55))</f>
        <v/>
      </c>
      <c r="AO23" s="69" t="str">
        <f>IF(D23="","",SUMIF('2. BMP Data'!$C$7:$C$55,$D23,'2. BMP Data'!L$7:L$55))</f>
        <v/>
      </c>
      <c r="AP23" s="69" t="str">
        <f>IF(D23="","",SUMIF('2. BMP Data'!$C$7:$C$55,$D23,'2. BMP Data'!M$7:M$55))</f>
        <v/>
      </c>
      <c r="AQ23" s="67" t="str">
        <f>IF(D23="","",SUMIF('2. BMP Data'!$C$7:$C$55,$D23,'2. BMP Data'!P$7:P$55))</f>
        <v/>
      </c>
      <c r="AR23" s="68" t="str">
        <f>IF(D23="","",SUMIF('2. BMP Data'!$C$7:$C$55,$D23,'2. BMP Data'!S$7:S$55))</f>
        <v/>
      </c>
      <c r="AS23" s="68" t="str">
        <f>IF(D23="","",SUMIF('2. BMP Data'!$C$7:$C$55,$D23,'2. BMP Data'!T$7:T$55))</f>
        <v/>
      </c>
      <c r="AT23" s="69" t="str">
        <f>IF(D23="","",SUMIF('2. BMP Data'!$C$7:$C$55,$D23,'2. BMP Data'!V$7:V$55))</f>
        <v/>
      </c>
      <c r="AU23" s="69" t="str">
        <f t="shared" si="19"/>
        <v/>
      </c>
      <c r="AV23" s="69" t="str">
        <f t="shared" si="20"/>
        <v/>
      </c>
      <c r="AW23" s="49" t="str">
        <f>IF(D23="","",(IF(AND(E23="Yes",AV23&lt;&gt;0),"Follow DOEE MEP Procedure",IF('1. Site Drainage Areas'!$C$4="No",IF(AV23=0,"Required SWRv exceeded by "&amp;ROUND((AS23-AJ23)*7.48,0)&amp;" gallons which may be able to be used to generate SRCs.","Off Site Retention may be needed."), IF(AV23=0,"Required SWRv exceeded by "&amp;ROUND((AS23-AJ23)*7.48,0)&amp;" gallons which contributes to meeting WQTv requirements.","Off Site Retention may be needed.")))))</f>
        <v/>
      </c>
      <c r="AX23" s="49" t="str">
        <f>IF(D23="","",(IF(OR('1. Site Drainage Areas'!$D$4="Tidal MS4",'1. Site Drainage Areas'!$D$4="Non-tidal MS4"),IF(AS23&gt;=0.5*AJ23,"Yes", "No"),"N/A")))</f>
        <v/>
      </c>
      <c r="AY23" s="49" t="str">
        <f>IF(D23="","",IF(AL23&gt;0,IF(AND(SUMIF('2. BMP Data'!$C$7:$C$55,'1. Site Drainage Areas'!D23,'2. BMP Data'!$N$7:$N$55)&gt;='1. Site Drainage Areas'!S23+'1. Site Drainage Areas'!AC23,COUNTIFS('2. BMP Data'!$C$7:$C$55,'1. Site Drainage Areas'!D23,'2. BMP Data'!$Y$7:$Y$55,"No")=0),"Yes","No"),"N/A"))</f>
        <v/>
      </c>
      <c r="AZ23" s="53" t="str">
        <f>IF(D23="","",IF(AND('1. Site Drainage Areas'!$D$4&lt;&gt;"Tidal MS4",'1. Site Drainage Areas'!$D$4&lt;&gt;"Non-tidal MS4"),"No",IF(AX23="Yes","No","Yes")))</f>
        <v/>
      </c>
      <c r="BA23" s="69" t="str">
        <f t="shared" si="21"/>
        <v/>
      </c>
      <c r="BB23" s="57" t="str">
        <f>IF(D23="","",IF('1. Site Drainage Areas'!$C$4="Yes",IF(AS23+AT23&gt;=AJ23+AK23,"Yes","No"),"N/A"))</f>
        <v/>
      </c>
      <c r="BC23" s="69" t="str">
        <f t="shared" si="26"/>
        <v/>
      </c>
      <c r="BD23" s="149" t="str">
        <f t="shared" si="27"/>
        <v/>
      </c>
      <c r="BE23" s="60"/>
      <c r="BF23" s="68" t="str">
        <f>IF(D23="","",SUMIF('2. BMP Data'!$C$7:$C$55,$D23,'2. BMP Data'!T$7:T$55))</f>
        <v/>
      </c>
      <c r="BG23" s="69" t="str">
        <f t="shared" si="23"/>
        <v/>
      </c>
      <c r="BH23" s="53"/>
      <c r="BI23" s="116"/>
      <c r="BJ23" s="116"/>
    </row>
    <row r="24" spans="4:62" s="52" customFormat="1" x14ac:dyDescent="0.3">
      <c r="D24" s="155"/>
      <c r="E24" s="156"/>
      <c r="F24" s="157"/>
      <c r="G24" s="158"/>
      <c r="H24" s="158"/>
      <c r="I24" s="158"/>
      <c r="J24" s="67" t="str">
        <f t="shared" si="24"/>
        <v/>
      </c>
      <c r="K24" s="157"/>
      <c r="L24" s="158"/>
      <c r="M24" s="158"/>
      <c r="N24" s="158"/>
      <c r="O24" s="67" t="str">
        <f t="shared" si="25"/>
        <v/>
      </c>
      <c r="P24" s="157"/>
      <c r="Q24" s="158"/>
      <c r="R24" s="158"/>
      <c r="S24" s="158"/>
      <c r="T24" s="158"/>
      <c r="U24" s="69" t="str">
        <f t="shared" si="12"/>
        <v/>
      </c>
      <c r="V24" s="55">
        <f t="shared" si="3"/>
        <v>0</v>
      </c>
      <c r="W24" s="55">
        <f t="shared" si="4"/>
        <v>0</v>
      </c>
      <c r="X24" s="55">
        <f t="shared" si="5"/>
        <v>0</v>
      </c>
      <c r="Y24" s="54" t="str">
        <f t="shared" si="13"/>
        <v/>
      </c>
      <c r="Z24" s="165"/>
      <c r="AA24" s="158"/>
      <c r="AB24" s="158"/>
      <c r="AC24" s="158"/>
      <c r="AD24" s="158"/>
      <c r="AE24" s="69" t="str">
        <f t="shared" si="14"/>
        <v/>
      </c>
      <c r="AF24" s="55">
        <f t="shared" si="15"/>
        <v>0</v>
      </c>
      <c r="AG24" s="55">
        <f t="shared" si="16"/>
        <v>0</v>
      </c>
      <c r="AH24" s="55">
        <f t="shared" si="17"/>
        <v>0</v>
      </c>
      <c r="AI24" s="88" t="str">
        <f t="shared" si="18"/>
        <v/>
      </c>
      <c r="AJ24" s="87" t="str">
        <f>IF(D24="","",('Site Data'!$N$19/12*U24*Y24+'Site Data'!$U$19/12*AE24*AI24))</f>
        <v/>
      </c>
      <c r="AK24" s="69" t="str">
        <f>IF(D24="","",(IF('1. Site Drainage Areas'!$C$4="Yes",1.7/12*(U24*Y24+AE24*AI24)-AJ24,"N/A")))</f>
        <v/>
      </c>
      <c r="AL24" s="66" t="str">
        <f>IF(D24="","",IF(OR('1. Site Drainage Areas'!$D$4="Tidal MS4",'1. Site Drainage Areas'!$D$4="Non-tidal MS4"),IF(E24="yes",0,('Site Data'!$N$19/12*S24*0.95+'Site Data'!$U$19/12*AC24*0.95)),0))</f>
        <v/>
      </c>
      <c r="AM24" s="89" t="str">
        <f>IF(D24="","",SUMIF('2. BMP Data'!$C$7:$C$55,$D24,'2. BMP Data'!J$7:J$55))</f>
        <v/>
      </c>
      <c r="AN24" s="69" t="str">
        <f>IF(D24="","",SUMIF('2. BMP Data'!$C$7:$C$55,$D24,'2. BMP Data'!K$7:K$55))</f>
        <v/>
      </c>
      <c r="AO24" s="69" t="str">
        <f>IF(D24="","",SUMIF('2. BMP Data'!$C$7:$C$55,$D24,'2. BMP Data'!L$7:L$55))</f>
        <v/>
      </c>
      <c r="AP24" s="69" t="str">
        <f>IF(D24="","",SUMIF('2. BMP Data'!$C$7:$C$55,$D24,'2. BMP Data'!M$7:M$55))</f>
        <v/>
      </c>
      <c r="AQ24" s="67" t="str">
        <f>IF(D24="","",SUMIF('2. BMP Data'!$C$7:$C$55,$D24,'2. BMP Data'!P$7:P$55))</f>
        <v/>
      </c>
      <c r="AR24" s="68" t="str">
        <f>IF(D24="","",SUMIF('2. BMP Data'!$C$7:$C$55,$D24,'2. BMP Data'!S$7:S$55))</f>
        <v/>
      </c>
      <c r="AS24" s="68" t="str">
        <f>IF(D24="","",SUMIF('2. BMP Data'!$C$7:$C$55,$D24,'2. BMP Data'!T$7:T$55))</f>
        <v/>
      </c>
      <c r="AT24" s="69" t="str">
        <f>IF(D24="","",SUMIF('2. BMP Data'!$C$7:$C$55,$D24,'2. BMP Data'!V$7:V$55))</f>
        <v/>
      </c>
      <c r="AU24" s="69" t="str">
        <f t="shared" si="19"/>
        <v/>
      </c>
      <c r="AV24" s="69" t="str">
        <f t="shared" si="20"/>
        <v/>
      </c>
      <c r="AW24" s="49" t="str">
        <f>IF(D24="","",(IF(AND(E24="Yes",AV24&lt;&gt;0),"Follow DOEE MEP Procedure",IF('1. Site Drainage Areas'!$C$4="No",IF(AV24=0,"Required SWRv exceeded by "&amp;ROUND((AS24-AJ24)*7.48,0)&amp;" gallons which may be able to be used to generate SRCs.","Off Site Retention may be needed."), IF(AV24=0,"Required SWRv exceeded by "&amp;ROUND((AS24-AJ24)*7.48,0)&amp;" gallons which contributes to meeting WQTv requirements.","Off Site Retention may be needed.")))))</f>
        <v/>
      </c>
      <c r="AX24" s="49" t="str">
        <f>IF(D24="","",(IF(OR('1. Site Drainage Areas'!$D$4="Tidal MS4",'1. Site Drainage Areas'!$D$4="Non-tidal MS4"),IF(AS24&gt;=0.5*AJ24,"Yes", "No"),"N/A")))</f>
        <v/>
      </c>
      <c r="AY24" s="49" t="str">
        <f>IF(D24="","",IF(AL24&gt;0,IF(AND(SUMIF('2. BMP Data'!$C$7:$C$55,'1. Site Drainage Areas'!D24,'2. BMP Data'!$N$7:$N$55)&gt;='1. Site Drainage Areas'!S24+'1. Site Drainage Areas'!AC24,COUNTIFS('2. BMP Data'!$C$7:$C$55,'1. Site Drainage Areas'!D24,'2. BMP Data'!$Y$7:$Y$55,"No")=0),"Yes","No"),"N/A"))</f>
        <v/>
      </c>
      <c r="AZ24" s="53" t="str">
        <f>IF(D24="","",IF(AND('1. Site Drainage Areas'!$D$4&lt;&gt;"Tidal MS4",'1. Site Drainage Areas'!$D$4&lt;&gt;"Non-tidal MS4"),"No",IF(AX24="Yes","No","Yes")))</f>
        <v/>
      </c>
      <c r="BA24" s="69" t="str">
        <f t="shared" si="21"/>
        <v/>
      </c>
      <c r="BB24" s="57" t="str">
        <f>IF(D24="","",IF('1. Site Drainage Areas'!$C$4="Yes",IF(AS24+AT24&gt;=AJ24+AK24,"Yes","No"),"N/A"))</f>
        <v/>
      </c>
      <c r="BC24" s="69" t="str">
        <f t="shared" si="26"/>
        <v/>
      </c>
      <c r="BD24" s="149" t="str">
        <f t="shared" si="27"/>
        <v/>
      </c>
      <c r="BE24" s="60"/>
      <c r="BF24" s="68" t="str">
        <f>IF(D24="","",SUMIF('2. BMP Data'!$C$7:$C$55,$D24,'2. BMP Data'!T$7:T$55))</f>
        <v/>
      </c>
      <c r="BG24" s="69" t="str">
        <f t="shared" si="23"/>
        <v/>
      </c>
      <c r="BH24" s="53"/>
      <c r="BI24" s="116"/>
      <c r="BJ24" s="116"/>
    </row>
    <row r="25" spans="4:62" s="52" customFormat="1" ht="15" thickBot="1" x14ac:dyDescent="0.35">
      <c r="D25" s="161"/>
      <c r="E25" s="162"/>
      <c r="F25" s="163"/>
      <c r="G25" s="164"/>
      <c r="H25" s="164"/>
      <c r="I25" s="164"/>
      <c r="J25" s="67" t="str">
        <f t="shared" si="24"/>
        <v/>
      </c>
      <c r="K25" s="163"/>
      <c r="L25" s="164"/>
      <c r="M25" s="164"/>
      <c r="N25" s="164"/>
      <c r="O25" s="67" t="str">
        <f t="shared" si="25"/>
        <v/>
      </c>
      <c r="P25" s="163"/>
      <c r="Q25" s="164"/>
      <c r="R25" s="164"/>
      <c r="S25" s="164"/>
      <c r="T25" s="164"/>
      <c r="U25" s="69" t="str">
        <f t="shared" si="12"/>
        <v/>
      </c>
      <c r="V25" s="56">
        <f t="shared" si="3"/>
        <v>0</v>
      </c>
      <c r="W25" s="56">
        <f t="shared" si="4"/>
        <v>0</v>
      </c>
      <c r="X25" s="56">
        <f t="shared" si="5"/>
        <v>0</v>
      </c>
      <c r="Y25" s="54" t="str">
        <f t="shared" si="13"/>
        <v/>
      </c>
      <c r="Z25" s="163"/>
      <c r="AA25" s="164"/>
      <c r="AB25" s="164"/>
      <c r="AC25" s="164"/>
      <c r="AD25" s="164"/>
      <c r="AE25" s="69" t="str">
        <f t="shared" si="14"/>
        <v/>
      </c>
      <c r="AF25" s="56">
        <f t="shared" si="15"/>
        <v>0</v>
      </c>
      <c r="AG25" s="56">
        <f t="shared" si="16"/>
        <v>0</v>
      </c>
      <c r="AH25" s="56">
        <f t="shared" si="17"/>
        <v>0</v>
      </c>
      <c r="AI25" s="88" t="str">
        <f t="shared" si="18"/>
        <v/>
      </c>
      <c r="AJ25" s="87" t="str">
        <f>IF(D25="","",('Site Data'!$N$19/12*U25*Y25+'Site Data'!$U$19/12*AE25*AI25))</f>
        <v/>
      </c>
      <c r="AK25" s="69" t="str">
        <f>IF(D25="","",(IF('1. Site Drainage Areas'!$C$4="Yes",1.7/12*(U25*Y25+AE25*AI25)-AJ25,"N/A")))</f>
        <v/>
      </c>
      <c r="AL25" s="66" t="str">
        <f>IF(D25="","",IF(OR('1. Site Drainage Areas'!$D$4="Tidal MS4",'1. Site Drainage Areas'!$D$4="Non-tidal MS4"),IF(E25="yes",0,('Site Data'!$N$19/12*S25*0.95+'Site Data'!$U$19/12*AC25*0.95)),0))</f>
        <v/>
      </c>
      <c r="AM25" s="89" t="str">
        <f>IF(D25="","",SUMIF('2. BMP Data'!$C$7:$C$55,$D25,'2. BMP Data'!J$7:J$55))</f>
        <v/>
      </c>
      <c r="AN25" s="69" t="str">
        <f>IF(D25="","",SUMIF('2. BMP Data'!$C$7:$C$55,$D25,'2. BMP Data'!K$7:K$55))</f>
        <v/>
      </c>
      <c r="AO25" s="69" t="str">
        <f>IF(D25="","",SUMIF('2. BMP Data'!$C$7:$C$55,$D25,'2. BMP Data'!L$7:L$55))</f>
        <v/>
      </c>
      <c r="AP25" s="69" t="str">
        <f>IF(D25="","",SUMIF('2. BMP Data'!$C$7:$C$55,$D25,'2. BMP Data'!M$7:M$55))</f>
        <v/>
      </c>
      <c r="AQ25" s="67" t="str">
        <f>IF(D25="","",SUMIF('2. BMP Data'!$C$7:$C$55,$D25,'2. BMP Data'!P$7:P$55))</f>
        <v/>
      </c>
      <c r="AR25" s="68" t="str">
        <f>IF(D25="","",SUMIF('2. BMP Data'!$C$7:$C$55,$D25,'2. BMP Data'!S$7:S$55))</f>
        <v/>
      </c>
      <c r="AS25" s="68" t="str">
        <f>IF(D25="","",SUMIF('2. BMP Data'!$C$7:$C$55,$D25,'2. BMP Data'!T$7:T$55))</f>
        <v/>
      </c>
      <c r="AT25" s="69" t="str">
        <f>IF(D25="","",SUMIF('2. BMP Data'!$C$7:$C$55,$D25,'2. BMP Data'!V$7:V$55))</f>
        <v/>
      </c>
      <c r="AU25" s="69" t="str">
        <f t="shared" si="19"/>
        <v/>
      </c>
      <c r="AV25" s="69" t="str">
        <f t="shared" si="20"/>
        <v/>
      </c>
      <c r="AW25" s="49" t="str">
        <f>IF(D25="","",(IF(AND(E25="Yes",AV25&lt;&gt;0),"Follow DOEE MEP Procedure",IF('1. Site Drainage Areas'!$C$4="No",IF(AV25=0,"Required SWRv exceeded by "&amp;ROUND((AS25-AJ25)*7.48,0)&amp;" gallons which may be able to be used to generate SRCs.","Off Site Retention may be needed."), IF(AV25=0,"Required SWRv exceeded by "&amp;ROUND((AS25-AJ25)*7.48,0)&amp;" gallons which contributes to meeting WQTv requirements.","Off Site Retention may be needed.")))))</f>
        <v/>
      </c>
      <c r="AX25" s="49" t="str">
        <f>IF(D25="","",(IF(OR('1. Site Drainage Areas'!$D$4="Tidal MS4",'1. Site Drainage Areas'!$D$4="Non-tidal MS4"),IF(AS25&gt;=0.5*AJ25,"Yes", "No"),"N/A")))</f>
        <v/>
      </c>
      <c r="AY25" s="49" t="str">
        <f>IF(D25="","",IF(AL25&gt;0,IF(AND(SUMIF('2. BMP Data'!$C$7:$C$55,'1. Site Drainage Areas'!D25,'2. BMP Data'!$N$7:$N$55)&gt;='1. Site Drainage Areas'!S25+'1. Site Drainage Areas'!AC25,COUNTIFS('2. BMP Data'!$C$7:$C$55,'1. Site Drainage Areas'!D25,'2. BMP Data'!$Y$7:$Y$55,"No")=0),"Yes","No"),"N/A"))</f>
        <v/>
      </c>
      <c r="AZ25" s="53" t="str">
        <f>IF(D25="","",IF(AND('1. Site Drainage Areas'!$D$4&lt;&gt;"Tidal MS4",'1. Site Drainage Areas'!$D$4&lt;&gt;"Non-tidal MS4"),"No",IF(AX25="Yes","No","Yes")))</f>
        <v/>
      </c>
      <c r="BA25" s="69" t="str">
        <f t="shared" si="21"/>
        <v/>
      </c>
      <c r="BB25" s="57" t="str">
        <f>IF(D25="","",IF('1. Site Drainage Areas'!$C$4="Yes",IF(AS25+AT25&gt;=AJ25+AK25,"Yes","No"),"N/A"))</f>
        <v/>
      </c>
      <c r="BC25" s="69" t="str">
        <f t="shared" si="26"/>
        <v/>
      </c>
      <c r="BD25" s="149" t="str">
        <f t="shared" si="27"/>
        <v/>
      </c>
      <c r="BE25" s="60"/>
      <c r="BF25" s="68" t="str">
        <f>IF(D25="","",SUMIF('2. BMP Data'!$C$7:$C$55,$D25,'2. BMP Data'!T$7:T$55))</f>
        <v/>
      </c>
      <c r="BG25" s="69" t="str">
        <f t="shared" si="23"/>
        <v/>
      </c>
      <c r="BH25" s="53"/>
      <c r="BI25" s="116"/>
      <c r="BJ25" s="116"/>
    </row>
  </sheetData>
  <sheetProtection algorithmName="SHA-512" hashValue="cFqshm/6dOPtKqUwK7BV6ohieJuwGHSfqYisRJYumfiCT8RgJhrwXl3wg4U+4WK91fGYVLkLTn5ENSQHzKpN5w==" saltValue="x6a5xat1mhQoM0hg+RR27w==" spinCount="100000" sheet="1" objects="1" scenarios="1"/>
  <mergeCells count="10">
    <mergeCell ref="A1:D1"/>
    <mergeCell ref="AR3:BD5"/>
    <mergeCell ref="F4:J5"/>
    <mergeCell ref="K4:O5"/>
    <mergeCell ref="F3:O3"/>
    <mergeCell ref="P3:AQ3"/>
    <mergeCell ref="AM4:AQ5"/>
    <mergeCell ref="P4:Y5"/>
    <mergeCell ref="Z4:AI5"/>
    <mergeCell ref="AJ4:AL5"/>
  </mergeCells>
  <dataValidations count="1">
    <dataValidation type="whole" allowBlank="1" showInputMessage="1" showErrorMessage="1" sqref="D9:D25" xr:uid="{38CAB22B-F665-4C13-97E4-577B7DB3D6BA}">
      <formula1>0</formula1>
      <formula2>100</formula2>
    </dataValidation>
  </dataValidations>
  <pageMargins left="0.7" right="0.7" top="0.75" bottom="0.75" header="0.3" footer="0.3"/>
  <pageSetup orientation="portrait" r:id="rId1"/>
  <ignoredErrors>
    <ignoredError sqref="O8 J8" formula="1"/>
  </ignoredErrors>
  <extLst>
    <ext xmlns:x14="http://schemas.microsoft.com/office/spreadsheetml/2009/9/main" uri="{CCE6A557-97BC-4b89-ADB6-D9C93CAAB3DF}">
      <x14:dataValidations xmlns:xm="http://schemas.microsoft.com/office/excel/2006/main" count="2">
        <x14:dataValidation type="list" allowBlank="1" showInputMessage="1" showErrorMessage="1" xr:uid="{2197F51F-5603-4945-94EE-464261EE067E}">
          <x14:formula1>
            <xm:f>'Saved Values'!$G$2:$G$4</xm:f>
          </x14:formula1>
          <xm:sqref>C4 E9:E25</xm:sqref>
        </x14:dataValidation>
        <x14:dataValidation type="list" allowBlank="1" showInputMessage="1" showErrorMessage="1" xr:uid="{6E84A04A-8E86-4EE6-BCED-28781EFD3817}">
          <x14:formula1>
            <xm:f>'Saved Values'!$I$2:$I$6</xm:f>
          </x14:formula1>
          <xm:sqref>D4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79C6B2-1962-48A7-9B13-82FB64E8EBE1}">
  <sheetPr codeName="Sheet14">
    <tabColor theme="0"/>
  </sheetPr>
  <dimension ref="B1:Z55"/>
  <sheetViews>
    <sheetView zoomScale="110" zoomScaleNormal="110" workbookViewId="0">
      <pane xSplit="2" ySplit="6" topLeftCell="C7" activePane="bottomRight" state="frozen"/>
      <selection pane="topRight" activeCell="E3" sqref="E3"/>
      <selection pane="bottomLeft" activeCell="C8" sqref="C8"/>
      <selection pane="bottomRight"/>
    </sheetView>
  </sheetViews>
  <sheetFormatPr defaultColWidth="8.88671875" defaultRowHeight="14.4" x14ac:dyDescent="0.3"/>
  <cols>
    <col min="1" max="1" width="6.6640625" style="7" customWidth="1"/>
    <col min="2" max="2" width="15" style="7" bestFit="1" customWidth="1"/>
    <col min="3" max="3" width="24.109375" style="7" customWidth="1"/>
    <col min="4" max="4" width="12.6640625" style="7" bestFit="1" customWidth="1"/>
    <col min="5" max="5" width="23" style="7" customWidth="1"/>
    <col min="6" max="6" width="40.5546875" style="7" customWidth="1"/>
    <col min="7" max="8" width="20.5546875" style="7" customWidth="1"/>
    <col min="9" max="9" width="21.6640625" style="7" customWidth="1"/>
    <col min="10" max="13" width="12.6640625" style="7" customWidth="1"/>
    <col min="14" max="14" width="20.5546875" style="7" bestFit="1" customWidth="1"/>
    <col min="15" max="15" width="15.33203125" style="7" bestFit="1" customWidth="1"/>
    <col min="16" max="16" width="22.88671875" style="7" customWidth="1"/>
    <col min="17" max="17" width="21.109375" style="7" bestFit="1" customWidth="1"/>
    <col min="18" max="18" width="17.109375" style="7" customWidth="1"/>
    <col min="19" max="20" width="19.109375" style="7" bestFit="1" customWidth="1"/>
    <col min="21" max="21" width="18.33203125" style="7" customWidth="1"/>
    <col min="22" max="23" width="19.6640625" style="7" customWidth="1"/>
    <col min="24" max="24" width="29" style="7" customWidth="1"/>
    <col min="25" max="25" width="18.5546875" style="7" customWidth="1"/>
    <col min="26" max="16384" width="8.88671875" style="7"/>
  </cols>
  <sheetData>
    <row r="1" spans="2:26" ht="15" thickBot="1" x14ac:dyDescent="0.35">
      <c r="Q1" s="6"/>
      <c r="U1" s="6"/>
      <c r="V1" s="6"/>
      <c r="Y1" s="6"/>
    </row>
    <row r="2" spans="2:26" s="17" customFormat="1" ht="15" thickBot="1" x14ac:dyDescent="0.35">
      <c r="B2" s="16"/>
      <c r="C2" s="16"/>
      <c r="D2" s="16"/>
      <c r="E2" s="16"/>
      <c r="F2" s="16"/>
      <c r="G2" s="16"/>
      <c r="H2" s="16"/>
      <c r="J2" s="84" t="s">
        <v>127</v>
      </c>
      <c r="K2" s="18"/>
      <c r="L2" s="18"/>
      <c r="M2" s="18"/>
      <c r="N2" s="18"/>
      <c r="O2" s="18"/>
      <c r="P2" s="18"/>
      <c r="Q2" s="18"/>
      <c r="R2" s="18"/>
      <c r="S2" s="18"/>
      <c r="T2" s="18"/>
      <c r="U2" s="18"/>
      <c r="V2" s="18"/>
      <c r="W2" s="18"/>
      <c r="X2" s="18"/>
      <c r="Y2" s="85"/>
    </row>
    <row r="3" spans="2:26" s="17" customFormat="1" ht="15" thickBot="1" x14ac:dyDescent="0.35">
      <c r="B3" s="16"/>
      <c r="C3" s="16"/>
      <c r="D3" s="16"/>
      <c r="E3" s="16"/>
      <c r="F3" s="16"/>
      <c r="G3" s="16"/>
      <c r="H3" s="16"/>
      <c r="J3" s="391" t="s">
        <v>128</v>
      </c>
      <c r="K3" s="392"/>
      <c r="L3" s="392"/>
      <c r="M3" s="392"/>
      <c r="N3" s="392"/>
      <c r="O3" s="393"/>
      <c r="P3" s="93"/>
      <c r="Q3" s="93"/>
      <c r="R3" s="93"/>
      <c r="S3" s="93"/>
      <c r="T3" s="93"/>
      <c r="U3" s="93"/>
      <c r="V3" s="93"/>
      <c r="W3" s="93"/>
      <c r="X3" s="93"/>
      <c r="Y3" s="94"/>
    </row>
    <row r="4" spans="2:26" s="19" customFormat="1" ht="58.2" thickBot="1" x14ac:dyDescent="0.35">
      <c r="B4" s="44" t="s">
        <v>129</v>
      </c>
      <c r="C4" s="45" t="s">
        <v>21</v>
      </c>
      <c r="D4" s="45" t="s">
        <v>23</v>
      </c>
      <c r="E4" s="45" t="s">
        <v>130</v>
      </c>
      <c r="F4" s="45" t="s">
        <v>27</v>
      </c>
      <c r="G4" s="190" t="s">
        <v>287</v>
      </c>
      <c r="H4" s="190" t="s">
        <v>288</v>
      </c>
      <c r="I4" s="91" t="s">
        <v>131</v>
      </c>
      <c r="J4" s="90" t="s">
        <v>82</v>
      </c>
      <c r="K4" s="45" t="s">
        <v>83</v>
      </c>
      <c r="L4" s="45" t="s">
        <v>84</v>
      </c>
      <c r="M4" s="45" t="s">
        <v>85</v>
      </c>
      <c r="N4" s="45" t="s">
        <v>113</v>
      </c>
      <c r="O4" s="45" t="s">
        <v>262</v>
      </c>
      <c r="P4" s="45" t="s">
        <v>132</v>
      </c>
      <c r="Q4" s="45" t="s">
        <v>133</v>
      </c>
      <c r="R4" s="45" t="s">
        <v>134</v>
      </c>
      <c r="S4" s="45" t="s">
        <v>36</v>
      </c>
      <c r="T4" s="45" t="s">
        <v>289</v>
      </c>
      <c r="U4" s="45" t="s">
        <v>135</v>
      </c>
      <c r="V4" s="45" t="s">
        <v>136</v>
      </c>
      <c r="W4" s="45" t="s">
        <v>137</v>
      </c>
      <c r="X4" s="45" t="s">
        <v>37</v>
      </c>
      <c r="Y4" s="91" t="s">
        <v>138</v>
      </c>
    </row>
    <row r="5" spans="2:26" s="20" customFormat="1" x14ac:dyDescent="0.3">
      <c r="B5" s="394" t="s">
        <v>139</v>
      </c>
      <c r="C5" s="396" t="s">
        <v>141</v>
      </c>
      <c r="D5" s="398" t="s">
        <v>140</v>
      </c>
      <c r="E5" s="398" t="s">
        <v>236</v>
      </c>
      <c r="F5" s="396" t="s">
        <v>141</v>
      </c>
      <c r="G5" s="400" t="s">
        <v>86</v>
      </c>
      <c r="H5" s="400" t="s">
        <v>55</v>
      </c>
      <c r="I5" s="387" t="s">
        <v>140</v>
      </c>
      <c r="J5" s="402" t="s">
        <v>86</v>
      </c>
      <c r="K5" s="389" t="s">
        <v>86</v>
      </c>
      <c r="L5" s="389" t="s">
        <v>86</v>
      </c>
      <c r="M5" s="389" t="s">
        <v>86</v>
      </c>
      <c r="N5" s="389" t="s">
        <v>86</v>
      </c>
      <c r="O5" s="97" t="s">
        <v>55</v>
      </c>
      <c r="P5" s="97" t="s">
        <v>55</v>
      </c>
      <c r="Q5" s="97" t="s">
        <v>55</v>
      </c>
      <c r="R5" s="97" t="s">
        <v>55</v>
      </c>
      <c r="S5" s="97" t="s">
        <v>55</v>
      </c>
      <c r="T5" s="97" t="s">
        <v>55</v>
      </c>
      <c r="U5" s="97" t="s">
        <v>55</v>
      </c>
      <c r="V5" s="97" t="s">
        <v>55</v>
      </c>
      <c r="W5" s="97" t="s">
        <v>55</v>
      </c>
      <c r="X5" s="97" t="s">
        <v>142</v>
      </c>
      <c r="Y5" s="83" t="s">
        <v>78</v>
      </c>
    </row>
    <row r="6" spans="2:26" s="21" customFormat="1" ht="15" thickBot="1" x14ac:dyDescent="0.35">
      <c r="B6" s="395"/>
      <c r="C6" s="397"/>
      <c r="D6" s="399"/>
      <c r="E6" s="399"/>
      <c r="F6" s="397"/>
      <c r="G6" s="401"/>
      <c r="H6" s="401"/>
      <c r="I6" s="388"/>
      <c r="J6" s="403"/>
      <c r="K6" s="390"/>
      <c r="L6" s="390"/>
      <c r="M6" s="390"/>
      <c r="N6" s="390"/>
      <c r="O6" s="96" t="s">
        <v>143</v>
      </c>
      <c r="P6" s="96" t="s">
        <v>143</v>
      </c>
      <c r="Q6" s="96" t="s">
        <v>143</v>
      </c>
      <c r="R6" s="96" t="s">
        <v>143</v>
      </c>
      <c r="S6" s="96" t="s">
        <v>144</v>
      </c>
      <c r="T6" s="96" t="s">
        <v>143</v>
      </c>
      <c r="U6" s="96" t="s">
        <v>143</v>
      </c>
      <c r="V6" s="96" t="s">
        <v>143</v>
      </c>
      <c r="W6" s="96" t="s">
        <v>143</v>
      </c>
      <c r="X6" s="96" t="s">
        <v>235</v>
      </c>
      <c r="Y6" s="86" t="s">
        <v>143</v>
      </c>
    </row>
    <row r="7" spans="2:26" x14ac:dyDescent="0.3">
      <c r="B7" s="47" t="str">
        <f>IF(AND(C7&lt;&gt;"", D7&lt;&gt;""), CONCATENATE(C7, "-", D7), "")</f>
        <v/>
      </c>
      <c r="C7" s="166"/>
      <c r="D7" s="166"/>
      <c r="E7" s="167"/>
      <c r="F7" s="168"/>
      <c r="G7" s="191"/>
      <c r="H7" s="191"/>
      <c r="I7" s="169"/>
      <c r="J7" s="170"/>
      <c r="K7" s="171"/>
      <c r="L7" s="171"/>
      <c r="M7" s="171"/>
      <c r="N7" s="171"/>
      <c r="O7" s="70" t="str">
        <f>IF(B7="","",IF(AND(OR('1. Site Drainage Areas'!$D$4="Tidal MS4",'1. Site Drainage Areas'!$D$4="Non-tidal MS4"),VLOOKUP(C7,'1. Site Drainage Areas'!$D$5:$E$21,2,FALSE)="No"),'Site Data'!$N$19/12*0.95*N7*0.5,"N/A"))</f>
        <v/>
      </c>
      <c r="P7" s="70" t="str">
        <f t="shared" ref="P7:P38" si="0">IF(B7="","",(1.7/12*(0*J7+0.25*K7+0.95*SUM(L7:M7))))</f>
        <v/>
      </c>
      <c r="Q7" s="71" t="str">
        <f t="shared" ref="Q7:Q38" si="1">IF(B7="","",(SUMIFS(Volume_Remaining,BMP_ID,"&lt;&gt;",DownstreamBMP,B7)))</f>
        <v/>
      </c>
      <c r="R7" s="71" t="str">
        <f t="shared" ref="R7:R38" si="2">IF(B7="","",(P7+Q7))</f>
        <v/>
      </c>
      <c r="S7" s="171"/>
      <c r="T7" s="222" t="str">
        <f>IF(F7="","",IF(F7='BMP Types'!$A$22,5*I7,IF(F7='BMP Types'!$A$23,10*I7,IF(F7='BMP Types'!$A$24,10*I7,IF(F7='BMP Types'!$A$25,20*I7,IF(F7='BMP Types'!$A$26,30*I7,IF(F7='BMP Types'!$A$27,40*I7,MIN(IF(F7='BMP Types'!$A$4,0.04*G7,IF(F7='BMP Types'!$A$5,0.02*G7,IF(F7='BMP Types'!$A$6,0.06*G7,IF(F7='BMP Types'!$A$7,0.04*G7,IF(F7='BMP Types'!$A$8,0.05*M7,IF(F7='BMP Types'!$A$10,0.05*M7+H7,VLOOKUP(F7,'BMP Types'!$C$2:$D$15,2,FALSE)*S7)))))),R7))))))))</f>
        <v/>
      </c>
      <c r="U7" s="71" t="str">
        <f t="shared" ref="U7:U38" si="3">IF(B7="","",(IF((R7-T7)&gt;0,R7-T7,0)))</f>
        <v/>
      </c>
      <c r="V7" s="75" t="str">
        <f t="shared" ref="V7:V38" si="4">IF(B7="","",IF(T7&lt;S7,IF(MIN(R7,S7)-T7&gt;0,MIN(R7,S7)-T7,0),0))</f>
        <v/>
      </c>
      <c r="W7" s="71" t="str">
        <f t="shared" ref="W7:W38" si="5">IF(B7="","",T7+V7)</f>
        <v/>
      </c>
      <c r="X7" s="182"/>
      <c r="Y7" s="92" t="str">
        <f t="shared" ref="Y7:Y38" si="6">IF(B7="","",(IF(O7="N/A","N/A",(IF(O7&gt;0,IF(W7&gt;=O7,"Yes","No"),"N/A")))))</f>
        <v/>
      </c>
      <c r="Z7" s="6"/>
    </row>
    <row r="8" spans="2:26" x14ac:dyDescent="0.3">
      <c r="B8" s="48" t="str">
        <f t="shared" ref="B8:B55" si="7">IF(AND(C8&lt;&gt;"", D8&lt;&gt;""), CONCATENATE(C8, "-", D8), "")</f>
        <v/>
      </c>
      <c r="C8" s="172"/>
      <c r="D8" s="172"/>
      <c r="E8" s="173"/>
      <c r="F8" s="168"/>
      <c r="G8" s="191"/>
      <c r="H8" s="191"/>
      <c r="I8" s="174"/>
      <c r="J8" s="175"/>
      <c r="K8" s="176"/>
      <c r="L8" s="176"/>
      <c r="M8" s="176"/>
      <c r="N8" s="176"/>
      <c r="O8" s="70" t="str">
        <f>IF(B8="","",IF(AND(OR('1. Site Drainage Areas'!$D$4="Tidal MS4",'1. Site Drainage Areas'!$D$4="Non-tidal MS4"),VLOOKUP(C8,'1. Site Drainage Areas'!$D$5:$E$21,2,FALSE)="No"),'Site Data'!$N$19/12*0.95*N8*0.5,"N/A"))</f>
        <v/>
      </c>
      <c r="P8" s="70" t="str">
        <f t="shared" si="0"/>
        <v/>
      </c>
      <c r="Q8" s="71" t="str">
        <f t="shared" si="1"/>
        <v/>
      </c>
      <c r="R8" s="71" t="str">
        <f t="shared" si="2"/>
        <v/>
      </c>
      <c r="S8" s="176"/>
      <c r="T8" s="222" t="str">
        <f>IF(F8="","",IF(F8='BMP Types'!$A$22,5*I8,IF(F8='BMP Types'!$A$23,10*I8,IF(F8='BMP Types'!$A$24,10*I8,IF(F8='BMP Types'!$A$25,20*I8,IF(F8='BMP Types'!$A$26,30*I8,IF(F8='BMP Types'!$A$27,40*I8,MIN(IF(F8='BMP Types'!$A$4,0.04*G8,IF(F8='BMP Types'!$A$5,0.02*G8,IF(F8='BMP Types'!$A$6,0.06*G8,IF(F8='BMP Types'!$A$7,0.04*G8,IF(F8='BMP Types'!$A$8,0.05*M8,IF(F8='BMP Types'!$A$10,0.05*M8+H8,VLOOKUP(F8,'BMP Types'!$C$2:$D$15,2,FALSE)*S8)))))),R8))))))))</f>
        <v/>
      </c>
      <c r="U8" s="71" t="str">
        <f t="shared" si="3"/>
        <v/>
      </c>
      <c r="V8" s="75" t="str">
        <f t="shared" si="4"/>
        <v/>
      </c>
      <c r="W8" s="71" t="str">
        <f t="shared" si="5"/>
        <v/>
      </c>
      <c r="X8" s="182"/>
      <c r="Y8" s="92" t="str">
        <f t="shared" si="6"/>
        <v/>
      </c>
    </row>
    <row r="9" spans="2:26" x14ac:dyDescent="0.3">
      <c r="B9" s="48" t="str">
        <f t="shared" si="7"/>
        <v/>
      </c>
      <c r="C9" s="172"/>
      <c r="D9" s="172"/>
      <c r="E9" s="173"/>
      <c r="F9" s="168"/>
      <c r="G9" s="191"/>
      <c r="H9" s="191"/>
      <c r="I9" s="174"/>
      <c r="J9" s="175"/>
      <c r="K9" s="176"/>
      <c r="L9" s="176"/>
      <c r="M9" s="176"/>
      <c r="N9" s="176"/>
      <c r="O9" s="70" t="str">
        <f>IF(B9="","",IF(AND(OR('1. Site Drainage Areas'!$D$4="Tidal MS4",'1. Site Drainage Areas'!$D$4="Non-tidal MS4"),VLOOKUP(C9,'1. Site Drainage Areas'!$D$5:$E$21,2,FALSE)="No"),'Site Data'!$N$19/12*0.95*N9*0.5,"N/A"))</f>
        <v/>
      </c>
      <c r="P9" s="70" t="str">
        <f t="shared" si="0"/>
        <v/>
      </c>
      <c r="Q9" s="71" t="str">
        <f t="shared" si="1"/>
        <v/>
      </c>
      <c r="R9" s="71" t="str">
        <f t="shared" si="2"/>
        <v/>
      </c>
      <c r="S9" s="176"/>
      <c r="T9" s="222" t="str">
        <f>IF(F9="","",IF(F9='BMP Types'!$A$22,5*I9,IF(F9='BMP Types'!$A$23,10*I9,IF(F9='BMP Types'!$A$24,10*I9,IF(F9='BMP Types'!$A$25,20*I9,IF(F9='BMP Types'!$A$26,30*I9,IF(F9='BMP Types'!$A$27,40*I9,MIN(IF(F9='BMP Types'!$A$4,0.04*G9,IF(F9='BMP Types'!$A$5,0.02*G9,IF(F9='BMP Types'!$A$6,0.06*G9,IF(F9='BMP Types'!$A$7,0.04*G9,IF(F9='BMP Types'!$A$8,0.05*M9,IF(F9='BMP Types'!$A$10,0.05*M9+H9,VLOOKUP(F9,'BMP Types'!$C$2:$D$15,2,FALSE)*S9)))))),R9))))))))</f>
        <v/>
      </c>
      <c r="U9" s="71" t="str">
        <f t="shared" si="3"/>
        <v/>
      </c>
      <c r="V9" s="75" t="str">
        <f t="shared" si="4"/>
        <v/>
      </c>
      <c r="W9" s="71" t="str">
        <f t="shared" si="5"/>
        <v/>
      </c>
      <c r="X9" s="182"/>
      <c r="Y9" s="92" t="str">
        <f t="shared" si="6"/>
        <v/>
      </c>
    </row>
    <row r="10" spans="2:26" x14ac:dyDescent="0.3">
      <c r="B10" s="48" t="str">
        <f t="shared" si="7"/>
        <v/>
      </c>
      <c r="C10" s="172"/>
      <c r="D10" s="172"/>
      <c r="E10" s="173"/>
      <c r="F10" s="168"/>
      <c r="G10" s="191"/>
      <c r="H10" s="191"/>
      <c r="I10" s="174"/>
      <c r="J10" s="175"/>
      <c r="K10" s="176"/>
      <c r="L10" s="176"/>
      <c r="M10" s="176"/>
      <c r="N10" s="176"/>
      <c r="O10" s="70" t="str">
        <f>IF(B10="","",IF(AND(OR('1. Site Drainage Areas'!$D$4="Tidal MS4",'1. Site Drainage Areas'!$D$4="Non-tidal MS4"),VLOOKUP(C10,'1. Site Drainage Areas'!$D$5:$E$21,2,FALSE)="No"),'Site Data'!$N$19/12*0.95*N10*0.5,"N/A"))</f>
        <v/>
      </c>
      <c r="P10" s="70" t="str">
        <f t="shared" si="0"/>
        <v/>
      </c>
      <c r="Q10" s="71" t="str">
        <f t="shared" si="1"/>
        <v/>
      </c>
      <c r="R10" s="71" t="str">
        <f t="shared" si="2"/>
        <v/>
      </c>
      <c r="S10" s="176"/>
      <c r="T10" s="222" t="str">
        <f>IF(F10="","",IF(F10='BMP Types'!$A$22,5*I10,IF(F10='BMP Types'!$A$23,10*I10,IF(F10='BMP Types'!$A$24,10*I10,IF(F10='BMP Types'!$A$25,20*I10,IF(F10='BMP Types'!$A$26,30*I10,IF(F10='BMP Types'!$A$27,40*I10,MIN(IF(F10='BMP Types'!$A$4,0.04*G10,IF(F10='BMP Types'!$A$5,0.02*G10,IF(F10='BMP Types'!$A$6,0.06*G10,IF(F10='BMP Types'!$A$7,0.04*G10,IF(F10='BMP Types'!$A$8,0.05*M10,IF(F10='BMP Types'!$A$10,0.05*M10+H10,VLOOKUP(F10,'BMP Types'!$C$2:$D$15,2,FALSE)*S10)))))),R10))))))))</f>
        <v/>
      </c>
      <c r="U10" s="71" t="str">
        <f t="shared" si="3"/>
        <v/>
      </c>
      <c r="V10" s="75" t="str">
        <f t="shared" si="4"/>
        <v/>
      </c>
      <c r="W10" s="71" t="str">
        <f t="shared" si="5"/>
        <v/>
      </c>
      <c r="X10" s="182"/>
      <c r="Y10" s="92" t="str">
        <f t="shared" si="6"/>
        <v/>
      </c>
    </row>
    <row r="11" spans="2:26" x14ac:dyDescent="0.3">
      <c r="B11" s="48" t="str">
        <f t="shared" si="7"/>
        <v/>
      </c>
      <c r="C11" s="172"/>
      <c r="D11" s="172"/>
      <c r="E11" s="173"/>
      <c r="F11" s="168"/>
      <c r="G11" s="191"/>
      <c r="H11" s="191"/>
      <c r="I11" s="174"/>
      <c r="J11" s="175"/>
      <c r="K11" s="176"/>
      <c r="L11" s="176"/>
      <c r="M11" s="176"/>
      <c r="N11" s="176"/>
      <c r="O11" s="70" t="str">
        <f>IF(B11="","",IF(AND(OR('1. Site Drainage Areas'!$D$4="Tidal MS4",'1. Site Drainage Areas'!$D$4="Non-tidal MS4"),VLOOKUP(C11,'1. Site Drainage Areas'!$D$5:$E$21,2,FALSE)="No"),'Site Data'!$N$19/12*0.95*N11*0.5,"N/A"))</f>
        <v/>
      </c>
      <c r="P11" s="70" t="str">
        <f t="shared" si="0"/>
        <v/>
      </c>
      <c r="Q11" s="71" t="str">
        <f t="shared" si="1"/>
        <v/>
      </c>
      <c r="R11" s="71" t="str">
        <f t="shared" si="2"/>
        <v/>
      </c>
      <c r="S11" s="176"/>
      <c r="T11" s="222" t="str">
        <f>IF(F11="","",IF(F11='BMP Types'!$A$22,5*I11,IF(F11='BMP Types'!$A$23,10*I11,IF(F11='BMP Types'!$A$24,10*I11,IF(F11='BMP Types'!$A$25,20*I11,IF(F11='BMP Types'!$A$26,30*I11,IF(F11='BMP Types'!$A$27,40*I11,MIN(IF(F11='BMP Types'!$A$4,0.04*G11,IF(F11='BMP Types'!$A$5,0.02*G11,IF(F11='BMP Types'!$A$6,0.06*G11,IF(F11='BMP Types'!$A$7,0.04*G11,IF(F11='BMP Types'!$A$8,0.05*M11,IF(F11='BMP Types'!$A$10,0.05*M11+H11,VLOOKUP(F11,'BMP Types'!$C$2:$D$15,2,FALSE)*S11)))))),R11))))))))</f>
        <v/>
      </c>
      <c r="U11" s="71" t="str">
        <f t="shared" si="3"/>
        <v/>
      </c>
      <c r="V11" s="75" t="str">
        <f t="shared" si="4"/>
        <v/>
      </c>
      <c r="W11" s="71" t="str">
        <f t="shared" si="5"/>
        <v/>
      </c>
      <c r="X11" s="182"/>
      <c r="Y11" s="92" t="str">
        <f t="shared" si="6"/>
        <v/>
      </c>
    </row>
    <row r="12" spans="2:26" x14ac:dyDescent="0.3">
      <c r="B12" s="48" t="str">
        <f t="shared" si="7"/>
        <v/>
      </c>
      <c r="C12" s="172"/>
      <c r="D12" s="172"/>
      <c r="E12" s="173"/>
      <c r="F12" s="168"/>
      <c r="G12" s="191"/>
      <c r="H12" s="191"/>
      <c r="I12" s="174"/>
      <c r="J12" s="175"/>
      <c r="K12" s="176"/>
      <c r="L12" s="176"/>
      <c r="M12" s="176"/>
      <c r="N12" s="176"/>
      <c r="O12" s="70" t="str">
        <f>IF(B12="","",IF(AND(OR('1. Site Drainage Areas'!$D$4="Tidal MS4",'1. Site Drainage Areas'!$D$4="Non-tidal MS4"),VLOOKUP(C12,'1. Site Drainage Areas'!$D$5:$E$21,2,FALSE)="No"),'Site Data'!$N$19/12*0.95*N12*0.5,"N/A"))</f>
        <v/>
      </c>
      <c r="P12" s="70" t="str">
        <f t="shared" si="0"/>
        <v/>
      </c>
      <c r="Q12" s="71" t="str">
        <f t="shared" si="1"/>
        <v/>
      </c>
      <c r="R12" s="71" t="str">
        <f t="shared" si="2"/>
        <v/>
      </c>
      <c r="S12" s="176"/>
      <c r="T12" s="222" t="str">
        <f>IF(F12="","",IF(F12='BMP Types'!$A$22,5*I12,IF(F12='BMP Types'!$A$23,10*I12,IF(F12='BMP Types'!$A$24,10*I12,IF(F12='BMP Types'!$A$25,20*I12,IF(F12='BMP Types'!$A$26,30*I12,IF(F12='BMP Types'!$A$27,40*I12,MIN(IF(F12='BMP Types'!$A$4,0.04*G12,IF(F12='BMP Types'!$A$5,0.02*G12,IF(F12='BMP Types'!$A$6,0.06*G12,IF(F12='BMP Types'!$A$7,0.04*G12,IF(F12='BMP Types'!$A$8,0.05*M12,IF(F12='BMP Types'!$A$10,0.05*M12+H12,VLOOKUP(F12,'BMP Types'!$C$2:$D$15,2,FALSE)*S12)))))),R12))))))))</f>
        <v/>
      </c>
      <c r="U12" s="71" t="str">
        <f t="shared" si="3"/>
        <v/>
      </c>
      <c r="V12" s="75" t="str">
        <f t="shared" si="4"/>
        <v/>
      </c>
      <c r="W12" s="71" t="str">
        <f t="shared" si="5"/>
        <v/>
      </c>
      <c r="X12" s="182"/>
      <c r="Y12" s="92" t="str">
        <f t="shared" si="6"/>
        <v/>
      </c>
    </row>
    <row r="13" spans="2:26" x14ac:dyDescent="0.3">
      <c r="B13" s="48" t="str">
        <f t="shared" si="7"/>
        <v/>
      </c>
      <c r="C13" s="172"/>
      <c r="D13" s="172"/>
      <c r="E13" s="173"/>
      <c r="F13" s="168"/>
      <c r="G13" s="191"/>
      <c r="H13" s="191"/>
      <c r="I13" s="174"/>
      <c r="J13" s="175"/>
      <c r="K13" s="176"/>
      <c r="L13" s="176"/>
      <c r="M13" s="176"/>
      <c r="N13" s="176"/>
      <c r="O13" s="70" t="str">
        <f>IF(B13="","",IF(AND(OR('1. Site Drainage Areas'!$D$4="Tidal MS4",'1. Site Drainage Areas'!$D$4="Non-tidal MS4"),VLOOKUP(C13,'1. Site Drainage Areas'!$D$5:$E$21,2,FALSE)="No"),'Site Data'!$N$19/12*0.95*N13*0.5,"N/A"))</f>
        <v/>
      </c>
      <c r="P13" s="70" t="str">
        <f t="shared" si="0"/>
        <v/>
      </c>
      <c r="Q13" s="71" t="str">
        <f t="shared" si="1"/>
        <v/>
      </c>
      <c r="R13" s="71" t="str">
        <f t="shared" si="2"/>
        <v/>
      </c>
      <c r="S13" s="176"/>
      <c r="T13" s="222" t="str">
        <f>IF(F13="","",IF(F13='BMP Types'!$A$22,5*I13,IF(F13='BMP Types'!$A$23,10*I13,IF(F13='BMP Types'!$A$24,10*I13,IF(F13='BMP Types'!$A$25,20*I13,IF(F13='BMP Types'!$A$26,30*I13,IF(F13='BMP Types'!$A$27,40*I13,MIN(IF(F13='BMP Types'!$A$4,0.04*G13,IF(F13='BMP Types'!$A$5,0.02*G13,IF(F13='BMP Types'!$A$6,0.06*G13,IF(F13='BMP Types'!$A$7,0.04*G13,IF(F13='BMP Types'!$A$8,0.05*M13,IF(F13='BMP Types'!$A$10,0.05*M13+H13,VLOOKUP(F13,'BMP Types'!$C$2:$D$15,2,FALSE)*S13)))))),R13))))))))</f>
        <v/>
      </c>
      <c r="U13" s="71" t="str">
        <f t="shared" si="3"/>
        <v/>
      </c>
      <c r="V13" s="75" t="str">
        <f t="shared" si="4"/>
        <v/>
      </c>
      <c r="W13" s="71" t="str">
        <f t="shared" si="5"/>
        <v/>
      </c>
      <c r="X13" s="182"/>
      <c r="Y13" s="92" t="str">
        <f t="shared" si="6"/>
        <v/>
      </c>
    </row>
    <row r="14" spans="2:26" x14ac:dyDescent="0.3">
      <c r="B14" s="48" t="str">
        <f t="shared" si="7"/>
        <v/>
      </c>
      <c r="C14" s="172"/>
      <c r="D14" s="172"/>
      <c r="E14" s="173"/>
      <c r="F14" s="168"/>
      <c r="G14" s="191"/>
      <c r="H14" s="191"/>
      <c r="I14" s="174"/>
      <c r="J14" s="175"/>
      <c r="K14" s="176"/>
      <c r="L14" s="176"/>
      <c r="M14" s="176"/>
      <c r="N14" s="176"/>
      <c r="O14" s="70" t="str">
        <f>IF(B14="","",IF(AND(OR('1. Site Drainage Areas'!$D$4="Tidal MS4",'1. Site Drainage Areas'!$D$4="Non-tidal MS4"),VLOOKUP(C14,'1. Site Drainage Areas'!$D$5:$E$21,2,FALSE)="No"),'Site Data'!$N$19/12*0.95*N14*0.5,"N/A"))</f>
        <v/>
      </c>
      <c r="P14" s="70" t="str">
        <f t="shared" si="0"/>
        <v/>
      </c>
      <c r="Q14" s="71" t="str">
        <f t="shared" si="1"/>
        <v/>
      </c>
      <c r="R14" s="71" t="str">
        <f t="shared" si="2"/>
        <v/>
      </c>
      <c r="S14" s="176"/>
      <c r="T14" s="222" t="str">
        <f>IF(F14="","",IF(F14='BMP Types'!$A$22,5*I14,IF(F14='BMP Types'!$A$23,10*I14,IF(F14='BMP Types'!$A$24,10*I14,IF(F14='BMP Types'!$A$25,20*I14,IF(F14='BMP Types'!$A$26,30*I14,IF(F14='BMP Types'!$A$27,40*I14,MIN(IF(F14='BMP Types'!$A$4,0.04*G14,IF(F14='BMP Types'!$A$5,0.02*G14,IF(F14='BMP Types'!$A$6,0.06*G14,IF(F14='BMP Types'!$A$7,0.04*G14,IF(F14='BMP Types'!$A$8,0.05*M14,IF(F14='BMP Types'!$A$10,0.05*M14+H14,VLOOKUP(F14,'BMP Types'!$C$2:$D$15,2,FALSE)*S14)))))),R14))))))))</f>
        <v/>
      </c>
      <c r="U14" s="71" t="str">
        <f t="shared" si="3"/>
        <v/>
      </c>
      <c r="V14" s="75" t="str">
        <f t="shared" si="4"/>
        <v/>
      </c>
      <c r="W14" s="71" t="str">
        <f t="shared" si="5"/>
        <v/>
      </c>
      <c r="X14" s="182"/>
      <c r="Y14" s="92" t="str">
        <f t="shared" si="6"/>
        <v/>
      </c>
    </row>
    <row r="15" spans="2:26" x14ac:dyDescent="0.3">
      <c r="B15" s="48" t="str">
        <f t="shared" si="7"/>
        <v/>
      </c>
      <c r="C15" s="172"/>
      <c r="D15" s="172"/>
      <c r="E15" s="173"/>
      <c r="F15" s="168"/>
      <c r="G15" s="191"/>
      <c r="H15" s="191"/>
      <c r="I15" s="174"/>
      <c r="J15" s="175"/>
      <c r="K15" s="176"/>
      <c r="L15" s="176"/>
      <c r="M15" s="176"/>
      <c r="N15" s="176"/>
      <c r="O15" s="70" t="str">
        <f>IF(B15="","",IF(AND(OR('1. Site Drainage Areas'!$D$4="Tidal MS4",'1. Site Drainage Areas'!$D$4="Non-tidal MS4"),VLOOKUP(C15,'1. Site Drainage Areas'!$D$5:$E$21,2,FALSE)="No"),'Site Data'!$N$19/12*0.95*N15*0.5,"N/A"))</f>
        <v/>
      </c>
      <c r="P15" s="70" t="str">
        <f t="shared" si="0"/>
        <v/>
      </c>
      <c r="Q15" s="71" t="str">
        <f t="shared" si="1"/>
        <v/>
      </c>
      <c r="R15" s="71" t="str">
        <f t="shared" si="2"/>
        <v/>
      </c>
      <c r="S15" s="176"/>
      <c r="T15" s="222" t="str">
        <f>IF(F15="","",IF(F15='BMP Types'!$A$22,5*I15,IF(F15='BMP Types'!$A$23,10*I15,IF(F15='BMP Types'!$A$24,10*I15,IF(F15='BMP Types'!$A$25,20*I15,IF(F15='BMP Types'!$A$26,30*I15,IF(F15='BMP Types'!$A$27,40*I15,MIN(IF(F15='BMP Types'!$A$4,0.04*G15,IF(F15='BMP Types'!$A$5,0.02*G15,IF(F15='BMP Types'!$A$6,0.06*G15,IF(F15='BMP Types'!$A$7,0.04*G15,IF(F15='BMP Types'!$A$8,0.05*M15,IF(F15='BMP Types'!$A$10,0.05*M15+H15,VLOOKUP(F15,'BMP Types'!$C$2:$D$15,2,FALSE)*S15)))))),R15))))))))</f>
        <v/>
      </c>
      <c r="U15" s="71" t="str">
        <f t="shared" si="3"/>
        <v/>
      </c>
      <c r="V15" s="75" t="str">
        <f t="shared" si="4"/>
        <v/>
      </c>
      <c r="W15" s="71" t="str">
        <f t="shared" si="5"/>
        <v/>
      </c>
      <c r="X15" s="182"/>
      <c r="Y15" s="92" t="str">
        <f t="shared" si="6"/>
        <v/>
      </c>
    </row>
    <row r="16" spans="2:26" x14ac:dyDescent="0.3">
      <c r="B16" s="48" t="str">
        <f t="shared" si="7"/>
        <v/>
      </c>
      <c r="C16" s="172"/>
      <c r="D16" s="172"/>
      <c r="E16" s="173"/>
      <c r="F16" s="168"/>
      <c r="G16" s="191"/>
      <c r="H16" s="191"/>
      <c r="I16" s="174"/>
      <c r="J16" s="175"/>
      <c r="K16" s="176"/>
      <c r="L16" s="176"/>
      <c r="M16" s="176"/>
      <c r="N16" s="176"/>
      <c r="O16" s="70" t="str">
        <f>IF(B16="","",IF(AND(OR('1. Site Drainage Areas'!$D$4="Tidal MS4",'1. Site Drainage Areas'!$D$4="Non-tidal MS4"),VLOOKUP(C16,'1. Site Drainage Areas'!$D$5:$E$21,2,FALSE)="No"),'Site Data'!$N$19/12*0.95*N16*0.5,"N/A"))</f>
        <v/>
      </c>
      <c r="P16" s="70" t="str">
        <f t="shared" si="0"/>
        <v/>
      </c>
      <c r="Q16" s="71" t="str">
        <f t="shared" si="1"/>
        <v/>
      </c>
      <c r="R16" s="71" t="str">
        <f t="shared" si="2"/>
        <v/>
      </c>
      <c r="S16" s="176"/>
      <c r="T16" s="222" t="str">
        <f>IF(F16="","",IF(F16='BMP Types'!$A$22,5*I16,IF(F16='BMP Types'!$A$23,10*I16,IF(F16='BMP Types'!$A$24,10*I16,IF(F16='BMP Types'!$A$25,20*I16,IF(F16='BMP Types'!$A$26,30*I16,IF(F16='BMP Types'!$A$27,40*I16,MIN(IF(F16='BMP Types'!$A$4,0.04*G16,IF(F16='BMP Types'!$A$5,0.02*G16,IF(F16='BMP Types'!$A$6,0.06*G16,IF(F16='BMP Types'!$A$7,0.04*G16,IF(F16='BMP Types'!$A$8,0.05*M16,IF(F16='BMP Types'!$A$10,0.05*M16+H16,VLOOKUP(F16,'BMP Types'!$C$2:$D$15,2,FALSE)*S16)))))),R16))))))))</f>
        <v/>
      </c>
      <c r="U16" s="71" t="str">
        <f t="shared" si="3"/>
        <v/>
      </c>
      <c r="V16" s="75" t="str">
        <f t="shared" si="4"/>
        <v/>
      </c>
      <c r="W16" s="71" t="str">
        <f t="shared" si="5"/>
        <v/>
      </c>
      <c r="X16" s="182"/>
      <c r="Y16" s="92" t="str">
        <f t="shared" si="6"/>
        <v/>
      </c>
    </row>
    <row r="17" spans="2:25" x14ac:dyDescent="0.3">
      <c r="B17" s="48" t="str">
        <f t="shared" si="7"/>
        <v/>
      </c>
      <c r="C17" s="172"/>
      <c r="D17" s="172"/>
      <c r="E17" s="173"/>
      <c r="F17" s="168"/>
      <c r="G17" s="191"/>
      <c r="H17" s="191"/>
      <c r="I17" s="174"/>
      <c r="J17" s="175"/>
      <c r="K17" s="176"/>
      <c r="L17" s="176"/>
      <c r="M17" s="176"/>
      <c r="N17" s="176"/>
      <c r="O17" s="70" t="str">
        <f>IF(B17="","",IF(AND(OR('1. Site Drainage Areas'!$D$4="Tidal MS4",'1. Site Drainage Areas'!$D$4="Non-tidal MS4"),VLOOKUP(C17,'1. Site Drainage Areas'!$D$5:$E$21,2,FALSE)="No"),'Site Data'!$N$19/12*0.95*N17*0.5,"N/A"))</f>
        <v/>
      </c>
      <c r="P17" s="70" t="str">
        <f t="shared" si="0"/>
        <v/>
      </c>
      <c r="Q17" s="71" t="str">
        <f t="shared" si="1"/>
        <v/>
      </c>
      <c r="R17" s="71" t="str">
        <f t="shared" si="2"/>
        <v/>
      </c>
      <c r="S17" s="176"/>
      <c r="T17" s="222" t="str">
        <f>IF(F17="","",IF(F17='BMP Types'!$A$22,5*I17,IF(F17='BMP Types'!$A$23,10*I17,IF(F17='BMP Types'!$A$24,10*I17,IF(F17='BMP Types'!$A$25,20*I17,IF(F17='BMP Types'!$A$26,30*I17,IF(F17='BMP Types'!$A$27,40*I17,MIN(IF(F17='BMP Types'!$A$4,0.04*G17,IF(F17='BMP Types'!$A$5,0.02*G17,IF(F17='BMP Types'!$A$6,0.06*G17,IF(F17='BMP Types'!$A$7,0.04*G17,IF(F17='BMP Types'!$A$8,0.05*M17,IF(F17='BMP Types'!$A$10,0.05*M17+H17,VLOOKUP(F17,'BMP Types'!$C$2:$D$15,2,FALSE)*S17)))))),R17))))))))</f>
        <v/>
      </c>
      <c r="U17" s="71" t="str">
        <f t="shared" si="3"/>
        <v/>
      </c>
      <c r="V17" s="75" t="str">
        <f t="shared" si="4"/>
        <v/>
      </c>
      <c r="W17" s="71" t="str">
        <f t="shared" si="5"/>
        <v/>
      </c>
      <c r="X17" s="182"/>
      <c r="Y17" s="92" t="str">
        <f t="shared" si="6"/>
        <v/>
      </c>
    </row>
    <row r="18" spans="2:25" x14ac:dyDescent="0.3">
      <c r="B18" s="48" t="str">
        <f t="shared" si="7"/>
        <v/>
      </c>
      <c r="C18" s="172"/>
      <c r="D18" s="172"/>
      <c r="E18" s="173"/>
      <c r="F18" s="168"/>
      <c r="G18" s="191"/>
      <c r="H18" s="191"/>
      <c r="I18" s="174"/>
      <c r="J18" s="175"/>
      <c r="K18" s="176"/>
      <c r="L18" s="176"/>
      <c r="M18" s="176"/>
      <c r="N18" s="176"/>
      <c r="O18" s="70" t="str">
        <f>IF(B18="","",IF(AND(OR('1. Site Drainage Areas'!$D$4="Tidal MS4",'1. Site Drainage Areas'!$D$4="Non-tidal MS4"),VLOOKUP(C18,'1. Site Drainage Areas'!$D$5:$E$21,2,FALSE)="No"),'Site Data'!$N$19/12*0.95*N18*0.5,"N/A"))</f>
        <v/>
      </c>
      <c r="P18" s="70" t="str">
        <f t="shared" si="0"/>
        <v/>
      </c>
      <c r="Q18" s="71" t="str">
        <f t="shared" si="1"/>
        <v/>
      </c>
      <c r="R18" s="71" t="str">
        <f t="shared" si="2"/>
        <v/>
      </c>
      <c r="S18" s="176"/>
      <c r="T18" s="222" t="str">
        <f>IF(F18="","",IF(F18='BMP Types'!$A$22,5*I18,IF(F18='BMP Types'!$A$23,10*I18,IF(F18='BMP Types'!$A$24,10*I18,IF(F18='BMP Types'!$A$25,20*I18,IF(F18='BMP Types'!$A$26,30*I18,IF(F18='BMP Types'!$A$27,40*I18,MIN(IF(F18='BMP Types'!$A$4,0.04*G18,IF(F18='BMP Types'!$A$5,0.02*G18,IF(F18='BMP Types'!$A$6,0.06*G18,IF(F18='BMP Types'!$A$7,0.04*G18,IF(F18='BMP Types'!$A$8,0.05*M18,IF(F18='BMP Types'!$A$10,0.05*M18+H18,VLOOKUP(F18,'BMP Types'!$C$2:$D$15,2,FALSE)*S18)))))),R18))))))))</f>
        <v/>
      </c>
      <c r="U18" s="71" t="str">
        <f t="shared" si="3"/>
        <v/>
      </c>
      <c r="V18" s="75" t="str">
        <f t="shared" si="4"/>
        <v/>
      </c>
      <c r="W18" s="71" t="str">
        <f t="shared" si="5"/>
        <v/>
      </c>
      <c r="X18" s="182"/>
      <c r="Y18" s="92" t="str">
        <f t="shared" si="6"/>
        <v/>
      </c>
    </row>
    <row r="19" spans="2:25" x14ac:dyDescent="0.3">
      <c r="B19" s="48" t="str">
        <f t="shared" si="7"/>
        <v/>
      </c>
      <c r="C19" s="172"/>
      <c r="D19" s="172"/>
      <c r="E19" s="173"/>
      <c r="F19" s="168"/>
      <c r="G19" s="191"/>
      <c r="H19" s="191"/>
      <c r="I19" s="174"/>
      <c r="J19" s="175"/>
      <c r="K19" s="176"/>
      <c r="L19" s="176"/>
      <c r="M19" s="176"/>
      <c r="N19" s="176"/>
      <c r="O19" s="70" t="str">
        <f>IF(B19="","",IF(AND(OR('1. Site Drainage Areas'!$D$4="Tidal MS4",'1. Site Drainage Areas'!$D$4="Non-tidal MS4"),VLOOKUP(C19,'1. Site Drainage Areas'!$D$5:$E$21,2,FALSE)="No"),'Site Data'!$N$19/12*0.95*N19*0.5,"N/A"))</f>
        <v/>
      </c>
      <c r="P19" s="70" t="str">
        <f t="shared" si="0"/>
        <v/>
      </c>
      <c r="Q19" s="71" t="str">
        <f t="shared" si="1"/>
        <v/>
      </c>
      <c r="R19" s="71" t="str">
        <f t="shared" si="2"/>
        <v/>
      </c>
      <c r="S19" s="176"/>
      <c r="T19" s="222" t="str">
        <f>IF(F19="","",IF(F19='BMP Types'!$A$22,5*I19,IF(F19='BMP Types'!$A$23,10*I19,IF(F19='BMP Types'!$A$24,10*I19,IF(F19='BMP Types'!$A$25,20*I19,IF(F19='BMP Types'!$A$26,30*I19,IF(F19='BMP Types'!$A$27,40*I19,MIN(IF(F19='BMP Types'!$A$4,0.04*G19,IF(F19='BMP Types'!$A$5,0.02*G19,IF(F19='BMP Types'!$A$6,0.06*G19,IF(F19='BMP Types'!$A$7,0.04*G19,IF(F19='BMP Types'!$A$8,0.05*M19,IF(F19='BMP Types'!$A$10,0.05*M19+H19,VLOOKUP(F19,'BMP Types'!$C$2:$D$15,2,FALSE)*S19)))))),R19))))))))</f>
        <v/>
      </c>
      <c r="U19" s="71" t="str">
        <f t="shared" si="3"/>
        <v/>
      </c>
      <c r="V19" s="75" t="str">
        <f t="shared" si="4"/>
        <v/>
      </c>
      <c r="W19" s="71" t="str">
        <f t="shared" si="5"/>
        <v/>
      </c>
      <c r="X19" s="182"/>
      <c r="Y19" s="92" t="str">
        <f t="shared" si="6"/>
        <v/>
      </c>
    </row>
    <row r="20" spans="2:25" x14ac:dyDescent="0.3">
      <c r="B20" s="48" t="str">
        <f t="shared" si="7"/>
        <v/>
      </c>
      <c r="C20" s="172"/>
      <c r="D20" s="172"/>
      <c r="E20" s="173"/>
      <c r="F20" s="168"/>
      <c r="G20" s="191"/>
      <c r="H20" s="191"/>
      <c r="I20" s="174"/>
      <c r="J20" s="175"/>
      <c r="K20" s="176"/>
      <c r="L20" s="176"/>
      <c r="M20" s="176"/>
      <c r="N20" s="176"/>
      <c r="O20" s="70" t="str">
        <f>IF(B20="","",IF(AND(OR('1. Site Drainage Areas'!$D$4="Tidal MS4",'1. Site Drainage Areas'!$D$4="Non-tidal MS4"),VLOOKUP(C20,'1. Site Drainage Areas'!$D$5:$E$21,2,FALSE)="No"),'Site Data'!$N$19/12*0.95*N20*0.5,"N/A"))</f>
        <v/>
      </c>
      <c r="P20" s="70" t="str">
        <f t="shared" si="0"/>
        <v/>
      </c>
      <c r="Q20" s="71" t="str">
        <f t="shared" si="1"/>
        <v/>
      </c>
      <c r="R20" s="71" t="str">
        <f t="shared" si="2"/>
        <v/>
      </c>
      <c r="S20" s="176"/>
      <c r="T20" s="222" t="str">
        <f>IF(F20="","",IF(F20='BMP Types'!$A$22,5*I20,IF(F20='BMP Types'!$A$23,10*I20,IF(F20='BMP Types'!$A$24,10*I20,IF(F20='BMP Types'!$A$25,20*I20,IF(F20='BMP Types'!$A$26,30*I20,IF(F20='BMP Types'!$A$27,40*I20,MIN(IF(F20='BMP Types'!$A$4,0.04*G20,IF(F20='BMP Types'!$A$5,0.02*G20,IF(F20='BMP Types'!$A$6,0.06*G20,IF(F20='BMP Types'!$A$7,0.04*G20,IF(F20='BMP Types'!$A$8,0.05*M20,IF(F20='BMP Types'!$A$10,0.05*M20+H20,VLOOKUP(F20,'BMP Types'!$C$2:$D$15,2,FALSE)*S20)))))),R20))))))))</f>
        <v/>
      </c>
      <c r="U20" s="71" t="str">
        <f t="shared" si="3"/>
        <v/>
      </c>
      <c r="V20" s="75" t="str">
        <f t="shared" si="4"/>
        <v/>
      </c>
      <c r="W20" s="71" t="str">
        <f t="shared" si="5"/>
        <v/>
      </c>
      <c r="X20" s="182"/>
      <c r="Y20" s="92" t="str">
        <f t="shared" si="6"/>
        <v/>
      </c>
    </row>
    <row r="21" spans="2:25" x14ac:dyDescent="0.3">
      <c r="B21" s="48" t="str">
        <f t="shared" si="7"/>
        <v/>
      </c>
      <c r="C21" s="172"/>
      <c r="D21" s="172"/>
      <c r="E21" s="173"/>
      <c r="F21" s="168"/>
      <c r="G21" s="191"/>
      <c r="H21" s="191"/>
      <c r="I21" s="174"/>
      <c r="J21" s="175"/>
      <c r="K21" s="176"/>
      <c r="L21" s="176"/>
      <c r="M21" s="176"/>
      <c r="N21" s="176"/>
      <c r="O21" s="70" t="str">
        <f>IF(B21="","",IF(AND(OR('1. Site Drainage Areas'!$D$4="Tidal MS4",'1. Site Drainage Areas'!$D$4="Non-tidal MS4"),VLOOKUP(C21,'1. Site Drainage Areas'!$D$5:$E$21,2,FALSE)="No"),'Site Data'!$N$19/12*0.95*N21*0.5,"N/A"))</f>
        <v/>
      </c>
      <c r="P21" s="70" t="str">
        <f t="shared" si="0"/>
        <v/>
      </c>
      <c r="Q21" s="71" t="str">
        <f t="shared" si="1"/>
        <v/>
      </c>
      <c r="R21" s="71" t="str">
        <f t="shared" si="2"/>
        <v/>
      </c>
      <c r="S21" s="176"/>
      <c r="T21" s="222" t="str">
        <f>IF(F21="","",IF(F21='BMP Types'!$A$22,5*I21,IF(F21='BMP Types'!$A$23,10*I21,IF(F21='BMP Types'!$A$24,10*I21,IF(F21='BMP Types'!$A$25,20*I21,IF(F21='BMP Types'!$A$26,30*I21,IF(F21='BMP Types'!$A$27,40*I21,MIN(IF(F21='BMP Types'!$A$4,0.04*G21,IF(F21='BMP Types'!$A$5,0.02*G21,IF(F21='BMP Types'!$A$6,0.06*G21,IF(F21='BMP Types'!$A$7,0.04*G21,IF(F21='BMP Types'!$A$8,0.05*M21,IF(F21='BMP Types'!$A$10,0.05*M21+H21,VLOOKUP(F21,'BMP Types'!$C$2:$D$15,2,FALSE)*S21)))))),R21))))))))</f>
        <v/>
      </c>
      <c r="U21" s="71" t="str">
        <f t="shared" si="3"/>
        <v/>
      </c>
      <c r="V21" s="75" t="str">
        <f t="shared" si="4"/>
        <v/>
      </c>
      <c r="W21" s="71" t="str">
        <f t="shared" si="5"/>
        <v/>
      </c>
      <c r="X21" s="182"/>
      <c r="Y21" s="92" t="str">
        <f t="shared" si="6"/>
        <v/>
      </c>
    </row>
    <row r="22" spans="2:25" x14ac:dyDescent="0.3">
      <c r="B22" s="48" t="str">
        <f t="shared" si="7"/>
        <v/>
      </c>
      <c r="C22" s="172"/>
      <c r="D22" s="172"/>
      <c r="E22" s="173"/>
      <c r="F22" s="168"/>
      <c r="G22" s="191"/>
      <c r="H22" s="191"/>
      <c r="I22" s="174"/>
      <c r="J22" s="175"/>
      <c r="K22" s="176"/>
      <c r="L22" s="176"/>
      <c r="M22" s="176"/>
      <c r="N22" s="176"/>
      <c r="O22" s="70" t="str">
        <f>IF(B22="","",IF(AND(OR('1. Site Drainage Areas'!$D$4="Tidal MS4",'1. Site Drainage Areas'!$D$4="Non-tidal MS4"),VLOOKUP(C22,'1. Site Drainage Areas'!$D$5:$E$21,2,FALSE)="No"),'Site Data'!$N$19/12*0.95*N22*0.5,"N/A"))</f>
        <v/>
      </c>
      <c r="P22" s="70" t="str">
        <f t="shared" si="0"/>
        <v/>
      </c>
      <c r="Q22" s="71" t="str">
        <f t="shared" si="1"/>
        <v/>
      </c>
      <c r="R22" s="71" t="str">
        <f t="shared" si="2"/>
        <v/>
      </c>
      <c r="S22" s="176"/>
      <c r="T22" s="222" t="str">
        <f>IF(F22="","",IF(F22='BMP Types'!$A$22,5*I22,IF(F22='BMP Types'!$A$23,10*I22,IF(F22='BMP Types'!$A$24,10*I22,IF(F22='BMP Types'!$A$25,20*I22,IF(F22='BMP Types'!$A$26,30*I22,IF(F22='BMP Types'!$A$27,40*I22,MIN(IF(F22='BMP Types'!$A$4,0.04*G22,IF(F22='BMP Types'!$A$5,0.02*G22,IF(F22='BMP Types'!$A$6,0.06*G22,IF(F22='BMP Types'!$A$7,0.04*G22,IF(F22='BMP Types'!$A$8,0.05*M22,IF(F22='BMP Types'!$A$10,0.05*M22+H22,VLOOKUP(F22,'BMP Types'!$C$2:$D$15,2,FALSE)*S22)))))),R22))))))))</f>
        <v/>
      </c>
      <c r="U22" s="71" t="str">
        <f t="shared" si="3"/>
        <v/>
      </c>
      <c r="V22" s="75" t="str">
        <f t="shared" si="4"/>
        <v/>
      </c>
      <c r="W22" s="71" t="str">
        <f t="shared" si="5"/>
        <v/>
      </c>
      <c r="X22" s="182"/>
      <c r="Y22" s="92" t="str">
        <f t="shared" si="6"/>
        <v/>
      </c>
    </row>
    <row r="23" spans="2:25" x14ac:dyDescent="0.3">
      <c r="B23" s="48" t="str">
        <f t="shared" si="7"/>
        <v/>
      </c>
      <c r="C23" s="172"/>
      <c r="D23" s="172"/>
      <c r="E23" s="173"/>
      <c r="F23" s="168"/>
      <c r="G23" s="191"/>
      <c r="H23" s="191"/>
      <c r="I23" s="174"/>
      <c r="J23" s="175"/>
      <c r="K23" s="176"/>
      <c r="L23" s="176"/>
      <c r="M23" s="176"/>
      <c r="N23" s="176"/>
      <c r="O23" s="70" t="str">
        <f>IF(B23="","",IF(AND(OR('1. Site Drainage Areas'!$D$4="Tidal MS4",'1. Site Drainage Areas'!$D$4="Non-tidal MS4"),VLOOKUP(C23,'1. Site Drainage Areas'!$D$5:$E$21,2,FALSE)="No"),'Site Data'!$N$19/12*0.95*N23*0.5,"N/A"))</f>
        <v/>
      </c>
      <c r="P23" s="70" t="str">
        <f t="shared" si="0"/>
        <v/>
      </c>
      <c r="Q23" s="71" t="str">
        <f t="shared" si="1"/>
        <v/>
      </c>
      <c r="R23" s="71" t="str">
        <f t="shared" si="2"/>
        <v/>
      </c>
      <c r="S23" s="176"/>
      <c r="T23" s="222" t="str">
        <f>IF(F23="","",IF(F23='BMP Types'!$A$22,5*I23,IF(F23='BMP Types'!$A$23,10*I23,IF(F23='BMP Types'!$A$24,10*I23,IF(F23='BMP Types'!$A$25,20*I23,IF(F23='BMP Types'!$A$26,30*I23,IF(F23='BMP Types'!$A$27,40*I23,MIN(IF(F23='BMP Types'!$A$4,0.04*G23,IF(F23='BMP Types'!$A$5,0.02*G23,IF(F23='BMP Types'!$A$6,0.06*G23,IF(F23='BMP Types'!$A$7,0.04*G23,IF(F23='BMP Types'!$A$8,0.05*M23,IF(F23='BMP Types'!$A$10,0.05*M23+H23,VLOOKUP(F23,'BMP Types'!$C$2:$D$15,2,FALSE)*S23)))))),R23))))))))</f>
        <v/>
      </c>
      <c r="U23" s="71" t="str">
        <f t="shared" si="3"/>
        <v/>
      </c>
      <c r="V23" s="75" t="str">
        <f t="shared" si="4"/>
        <v/>
      </c>
      <c r="W23" s="71" t="str">
        <f t="shared" si="5"/>
        <v/>
      </c>
      <c r="X23" s="182"/>
      <c r="Y23" s="92" t="str">
        <f t="shared" si="6"/>
        <v/>
      </c>
    </row>
    <row r="24" spans="2:25" x14ac:dyDescent="0.3">
      <c r="B24" s="48" t="str">
        <f t="shared" si="7"/>
        <v/>
      </c>
      <c r="C24" s="172"/>
      <c r="D24" s="172"/>
      <c r="E24" s="173"/>
      <c r="F24" s="168"/>
      <c r="G24" s="191"/>
      <c r="H24" s="191"/>
      <c r="I24" s="174"/>
      <c r="J24" s="175"/>
      <c r="K24" s="176"/>
      <c r="L24" s="176"/>
      <c r="M24" s="176"/>
      <c r="N24" s="176"/>
      <c r="O24" s="70" t="str">
        <f>IF(B24="","",IF(AND(OR('1. Site Drainage Areas'!$D$4="Tidal MS4",'1. Site Drainage Areas'!$D$4="Non-tidal MS4"),VLOOKUP(C24,'1. Site Drainage Areas'!$D$5:$E$21,2,FALSE)="No"),'Site Data'!$N$19/12*0.95*N24*0.5,"N/A"))</f>
        <v/>
      </c>
      <c r="P24" s="70" t="str">
        <f t="shared" si="0"/>
        <v/>
      </c>
      <c r="Q24" s="71" t="str">
        <f t="shared" si="1"/>
        <v/>
      </c>
      <c r="R24" s="71" t="str">
        <f t="shared" si="2"/>
        <v/>
      </c>
      <c r="S24" s="176"/>
      <c r="T24" s="222" t="str">
        <f>IF(F24="","",IF(F24='BMP Types'!$A$22,5*I24,IF(F24='BMP Types'!$A$23,10*I24,IF(F24='BMP Types'!$A$24,10*I24,IF(F24='BMP Types'!$A$25,20*I24,IF(F24='BMP Types'!$A$26,30*I24,IF(F24='BMP Types'!$A$27,40*I24,MIN(IF(F24='BMP Types'!$A$4,0.04*G24,IF(F24='BMP Types'!$A$5,0.02*G24,IF(F24='BMP Types'!$A$6,0.06*G24,IF(F24='BMP Types'!$A$7,0.04*G24,IF(F24='BMP Types'!$A$8,0.05*M24,IF(F24='BMP Types'!$A$10,0.05*M24+H24,VLOOKUP(F24,'BMP Types'!$C$2:$D$15,2,FALSE)*S24)))))),R24))))))))</f>
        <v/>
      </c>
      <c r="U24" s="71" t="str">
        <f t="shared" si="3"/>
        <v/>
      </c>
      <c r="V24" s="75" t="str">
        <f t="shared" si="4"/>
        <v/>
      </c>
      <c r="W24" s="71" t="str">
        <f t="shared" si="5"/>
        <v/>
      </c>
      <c r="X24" s="182"/>
      <c r="Y24" s="92" t="str">
        <f t="shared" si="6"/>
        <v/>
      </c>
    </row>
    <row r="25" spans="2:25" x14ac:dyDescent="0.3">
      <c r="B25" s="48" t="str">
        <f t="shared" si="7"/>
        <v/>
      </c>
      <c r="C25" s="172"/>
      <c r="D25" s="172"/>
      <c r="E25" s="173"/>
      <c r="F25" s="168"/>
      <c r="G25" s="191"/>
      <c r="H25" s="191"/>
      <c r="I25" s="174"/>
      <c r="J25" s="175"/>
      <c r="K25" s="176"/>
      <c r="L25" s="176"/>
      <c r="M25" s="176"/>
      <c r="N25" s="176"/>
      <c r="O25" s="70" t="str">
        <f>IF(B25="","",IF(AND(OR('1. Site Drainage Areas'!$D$4="Tidal MS4",'1. Site Drainage Areas'!$D$4="Non-tidal MS4"),VLOOKUP(C25,'1. Site Drainage Areas'!$D$5:$E$21,2,FALSE)="No"),'Site Data'!$N$19/12*0.95*N25*0.5,"N/A"))</f>
        <v/>
      </c>
      <c r="P25" s="70" t="str">
        <f t="shared" si="0"/>
        <v/>
      </c>
      <c r="Q25" s="71" t="str">
        <f t="shared" si="1"/>
        <v/>
      </c>
      <c r="R25" s="71" t="str">
        <f t="shared" si="2"/>
        <v/>
      </c>
      <c r="S25" s="176"/>
      <c r="T25" s="222" t="str">
        <f>IF(F25="","",IF(F25='BMP Types'!$A$22,5*I25,IF(F25='BMP Types'!$A$23,10*I25,IF(F25='BMP Types'!$A$24,10*I25,IF(F25='BMP Types'!$A$25,20*I25,IF(F25='BMP Types'!$A$26,30*I25,IF(F25='BMP Types'!$A$27,40*I25,MIN(IF(F25='BMP Types'!$A$4,0.04*G25,IF(F25='BMP Types'!$A$5,0.02*G25,IF(F25='BMP Types'!$A$6,0.06*G25,IF(F25='BMP Types'!$A$7,0.04*G25,IF(F25='BMP Types'!$A$8,0.05*M25,IF(F25='BMP Types'!$A$10,0.05*M25+H25,VLOOKUP(F25,'BMP Types'!$C$2:$D$15,2,FALSE)*S25)))))),R25))))))))</f>
        <v/>
      </c>
      <c r="U25" s="71" t="str">
        <f t="shared" si="3"/>
        <v/>
      </c>
      <c r="V25" s="75" t="str">
        <f t="shared" si="4"/>
        <v/>
      </c>
      <c r="W25" s="71" t="str">
        <f t="shared" si="5"/>
        <v/>
      </c>
      <c r="X25" s="182"/>
      <c r="Y25" s="92" t="str">
        <f t="shared" si="6"/>
        <v/>
      </c>
    </row>
    <row r="26" spans="2:25" x14ac:dyDescent="0.3">
      <c r="B26" s="48" t="str">
        <f t="shared" si="7"/>
        <v/>
      </c>
      <c r="C26" s="172"/>
      <c r="D26" s="172"/>
      <c r="E26" s="173"/>
      <c r="F26" s="168"/>
      <c r="G26" s="191"/>
      <c r="H26" s="191"/>
      <c r="I26" s="174"/>
      <c r="J26" s="175"/>
      <c r="K26" s="176"/>
      <c r="L26" s="176"/>
      <c r="M26" s="176"/>
      <c r="N26" s="176"/>
      <c r="O26" s="70" t="str">
        <f>IF(B26="","",IF(AND(OR('1. Site Drainage Areas'!$D$4="Tidal MS4",'1. Site Drainage Areas'!$D$4="Non-tidal MS4"),VLOOKUP(C26,'1. Site Drainage Areas'!$D$5:$E$21,2,FALSE)="No"),'Site Data'!$N$19/12*0.95*N26*0.5,"N/A"))</f>
        <v/>
      </c>
      <c r="P26" s="70" t="str">
        <f t="shared" si="0"/>
        <v/>
      </c>
      <c r="Q26" s="71" t="str">
        <f t="shared" si="1"/>
        <v/>
      </c>
      <c r="R26" s="71" t="str">
        <f t="shared" si="2"/>
        <v/>
      </c>
      <c r="S26" s="176"/>
      <c r="T26" s="222" t="str">
        <f>IF(F26="","",IF(F26='BMP Types'!$A$22,5*I26,IF(F26='BMP Types'!$A$23,10*I26,IF(F26='BMP Types'!$A$24,10*I26,IF(F26='BMP Types'!$A$25,20*I26,IF(F26='BMP Types'!$A$26,30*I26,IF(F26='BMP Types'!$A$27,40*I26,MIN(IF(F26='BMP Types'!$A$4,0.04*G26,IF(F26='BMP Types'!$A$5,0.02*G26,IF(F26='BMP Types'!$A$6,0.06*G26,IF(F26='BMP Types'!$A$7,0.04*G26,IF(F26='BMP Types'!$A$8,0.05*M26,IF(F26='BMP Types'!$A$10,0.05*M26+H26,VLOOKUP(F26,'BMP Types'!$C$2:$D$15,2,FALSE)*S26)))))),R26))))))))</f>
        <v/>
      </c>
      <c r="U26" s="71" t="str">
        <f t="shared" si="3"/>
        <v/>
      </c>
      <c r="V26" s="75" t="str">
        <f t="shared" si="4"/>
        <v/>
      </c>
      <c r="W26" s="71" t="str">
        <f t="shared" si="5"/>
        <v/>
      </c>
      <c r="X26" s="182"/>
      <c r="Y26" s="92" t="str">
        <f t="shared" si="6"/>
        <v/>
      </c>
    </row>
    <row r="27" spans="2:25" x14ac:dyDescent="0.3">
      <c r="B27" s="48" t="str">
        <f t="shared" si="7"/>
        <v/>
      </c>
      <c r="C27" s="172"/>
      <c r="D27" s="172"/>
      <c r="E27" s="173"/>
      <c r="F27" s="168"/>
      <c r="G27" s="191"/>
      <c r="H27" s="191"/>
      <c r="I27" s="174"/>
      <c r="J27" s="175"/>
      <c r="K27" s="176"/>
      <c r="L27" s="176"/>
      <c r="M27" s="176"/>
      <c r="N27" s="176"/>
      <c r="O27" s="70" t="str">
        <f>IF(B27="","",IF(AND(OR('1. Site Drainage Areas'!$D$4="Tidal MS4",'1. Site Drainage Areas'!$D$4="Non-tidal MS4"),VLOOKUP(C27,'1. Site Drainage Areas'!$D$5:$E$21,2,FALSE)="No"),'Site Data'!$N$19/12*0.95*N27*0.5,"N/A"))</f>
        <v/>
      </c>
      <c r="P27" s="70" t="str">
        <f t="shared" si="0"/>
        <v/>
      </c>
      <c r="Q27" s="71" t="str">
        <f t="shared" si="1"/>
        <v/>
      </c>
      <c r="R27" s="71" t="str">
        <f t="shared" si="2"/>
        <v/>
      </c>
      <c r="S27" s="176"/>
      <c r="T27" s="222" t="str">
        <f>IF(F27="","",IF(F27='BMP Types'!$A$22,5*I27,IF(F27='BMP Types'!$A$23,10*I27,IF(F27='BMP Types'!$A$24,10*I27,IF(F27='BMP Types'!$A$25,20*I27,IF(F27='BMP Types'!$A$26,30*I27,IF(F27='BMP Types'!$A$27,40*I27,MIN(IF(F27='BMP Types'!$A$4,0.04*G27,IF(F27='BMP Types'!$A$5,0.02*G27,IF(F27='BMP Types'!$A$6,0.06*G27,IF(F27='BMP Types'!$A$7,0.04*G27,IF(F27='BMP Types'!$A$8,0.05*M27,IF(F27='BMP Types'!$A$10,0.05*M27+H27,VLOOKUP(F27,'BMP Types'!$C$2:$D$15,2,FALSE)*S27)))))),R27))))))))</f>
        <v/>
      </c>
      <c r="U27" s="71" t="str">
        <f t="shared" si="3"/>
        <v/>
      </c>
      <c r="V27" s="75" t="str">
        <f t="shared" si="4"/>
        <v/>
      </c>
      <c r="W27" s="71" t="str">
        <f t="shared" si="5"/>
        <v/>
      </c>
      <c r="X27" s="182"/>
      <c r="Y27" s="92" t="str">
        <f t="shared" si="6"/>
        <v/>
      </c>
    </row>
    <row r="28" spans="2:25" x14ac:dyDescent="0.3">
      <c r="B28" s="48" t="str">
        <f t="shared" si="7"/>
        <v/>
      </c>
      <c r="C28" s="172"/>
      <c r="D28" s="172"/>
      <c r="E28" s="173"/>
      <c r="F28" s="168"/>
      <c r="G28" s="191"/>
      <c r="H28" s="191"/>
      <c r="I28" s="174"/>
      <c r="J28" s="175"/>
      <c r="K28" s="176"/>
      <c r="L28" s="176"/>
      <c r="M28" s="176"/>
      <c r="N28" s="176"/>
      <c r="O28" s="70" t="str">
        <f>IF(B28="","",IF(AND(OR('1. Site Drainage Areas'!$D$4="Tidal MS4",'1. Site Drainage Areas'!$D$4="Non-tidal MS4"),VLOOKUP(C28,'1. Site Drainage Areas'!$D$5:$E$21,2,FALSE)="No"),'Site Data'!$N$19/12*0.95*N28*0.5,"N/A"))</f>
        <v/>
      </c>
      <c r="P28" s="70" t="str">
        <f t="shared" si="0"/>
        <v/>
      </c>
      <c r="Q28" s="71" t="str">
        <f t="shared" si="1"/>
        <v/>
      </c>
      <c r="R28" s="71" t="str">
        <f t="shared" si="2"/>
        <v/>
      </c>
      <c r="S28" s="176"/>
      <c r="T28" s="222" t="str">
        <f>IF(F28="","",IF(F28='BMP Types'!$A$22,5*I28,IF(F28='BMP Types'!$A$23,10*I28,IF(F28='BMP Types'!$A$24,10*I28,IF(F28='BMP Types'!$A$25,20*I28,IF(F28='BMP Types'!$A$26,30*I28,IF(F28='BMP Types'!$A$27,40*I28,MIN(IF(F28='BMP Types'!$A$4,0.04*G28,IF(F28='BMP Types'!$A$5,0.02*G28,IF(F28='BMP Types'!$A$6,0.06*G28,IF(F28='BMP Types'!$A$7,0.04*G28,IF(F28='BMP Types'!$A$8,0.05*M28,IF(F28='BMP Types'!$A$10,0.05*M28+H28,VLOOKUP(F28,'BMP Types'!$C$2:$D$15,2,FALSE)*S28)))))),R28))))))))</f>
        <v/>
      </c>
      <c r="U28" s="71" t="str">
        <f t="shared" si="3"/>
        <v/>
      </c>
      <c r="V28" s="75" t="str">
        <f t="shared" si="4"/>
        <v/>
      </c>
      <c r="W28" s="71" t="str">
        <f t="shared" si="5"/>
        <v/>
      </c>
      <c r="X28" s="182"/>
      <c r="Y28" s="92" t="str">
        <f t="shared" si="6"/>
        <v/>
      </c>
    </row>
    <row r="29" spans="2:25" x14ac:dyDescent="0.3">
      <c r="B29" s="48" t="str">
        <f t="shared" si="7"/>
        <v/>
      </c>
      <c r="C29" s="172"/>
      <c r="D29" s="172"/>
      <c r="E29" s="173"/>
      <c r="F29" s="168"/>
      <c r="G29" s="191"/>
      <c r="H29" s="191"/>
      <c r="I29" s="174"/>
      <c r="J29" s="175"/>
      <c r="K29" s="176"/>
      <c r="L29" s="176"/>
      <c r="M29" s="176"/>
      <c r="N29" s="176"/>
      <c r="O29" s="70" t="str">
        <f>IF(B29="","",IF(AND(OR('1. Site Drainage Areas'!$D$4="Tidal MS4",'1. Site Drainage Areas'!$D$4="Non-tidal MS4"),VLOOKUP(C29,'1. Site Drainage Areas'!$D$5:$E$21,2,FALSE)="No"),'Site Data'!$N$19/12*0.95*N29*0.5,"N/A"))</f>
        <v/>
      </c>
      <c r="P29" s="70" t="str">
        <f t="shared" si="0"/>
        <v/>
      </c>
      <c r="Q29" s="71" t="str">
        <f t="shared" si="1"/>
        <v/>
      </c>
      <c r="R29" s="71" t="str">
        <f t="shared" si="2"/>
        <v/>
      </c>
      <c r="S29" s="176"/>
      <c r="T29" s="222" t="str">
        <f>IF(F29="","",IF(F29='BMP Types'!$A$22,5*I29,IF(F29='BMP Types'!$A$23,10*I29,IF(F29='BMP Types'!$A$24,10*I29,IF(F29='BMP Types'!$A$25,20*I29,IF(F29='BMP Types'!$A$26,30*I29,IF(F29='BMP Types'!$A$27,40*I29,MIN(IF(F29='BMP Types'!$A$4,0.04*G29,IF(F29='BMP Types'!$A$5,0.02*G29,IF(F29='BMP Types'!$A$6,0.06*G29,IF(F29='BMP Types'!$A$7,0.04*G29,IF(F29='BMP Types'!$A$8,0.05*M29,IF(F29='BMP Types'!$A$10,0.05*M29+H29,VLOOKUP(F29,'BMP Types'!$C$2:$D$15,2,FALSE)*S29)))))),R29))))))))</f>
        <v/>
      </c>
      <c r="U29" s="71" t="str">
        <f t="shared" si="3"/>
        <v/>
      </c>
      <c r="V29" s="75" t="str">
        <f t="shared" si="4"/>
        <v/>
      </c>
      <c r="W29" s="71" t="str">
        <f t="shared" si="5"/>
        <v/>
      </c>
      <c r="X29" s="182"/>
      <c r="Y29" s="92" t="str">
        <f t="shared" si="6"/>
        <v/>
      </c>
    </row>
    <row r="30" spans="2:25" x14ac:dyDescent="0.3">
      <c r="B30" s="48" t="str">
        <f t="shared" si="7"/>
        <v/>
      </c>
      <c r="C30" s="172"/>
      <c r="D30" s="172"/>
      <c r="E30" s="173"/>
      <c r="F30" s="168"/>
      <c r="G30" s="191"/>
      <c r="H30" s="191"/>
      <c r="I30" s="174"/>
      <c r="J30" s="175"/>
      <c r="K30" s="176"/>
      <c r="L30" s="176"/>
      <c r="M30" s="176"/>
      <c r="N30" s="176"/>
      <c r="O30" s="70" t="str">
        <f>IF(B30="","",IF(AND(OR('1. Site Drainage Areas'!$D$4="Tidal MS4",'1. Site Drainage Areas'!$D$4="Non-tidal MS4"),VLOOKUP(C30,'1. Site Drainage Areas'!$D$5:$E$21,2,FALSE)="No"),'Site Data'!$N$19/12*0.95*N30*0.5,"N/A"))</f>
        <v/>
      </c>
      <c r="P30" s="70" t="str">
        <f t="shared" si="0"/>
        <v/>
      </c>
      <c r="Q30" s="71" t="str">
        <f t="shared" si="1"/>
        <v/>
      </c>
      <c r="R30" s="71" t="str">
        <f t="shared" si="2"/>
        <v/>
      </c>
      <c r="S30" s="176"/>
      <c r="T30" s="222" t="str">
        <f>IF(F30="","",IF(F30='BMP Types'!$A$22,5*I30,IF(F30='BMP Types'!$A$23,10*I30,IF(F30='BMP Types'!$A$24,10*I30,IF(F30='BMP Types'!$A$25,20*I30,IF(F30='BMP Types'!$A$26,30*I30,IF(F30='BMP Types'!$A$27,40*I30,MIN(IF(F30='BMP Types'!$A$4,0.04*G30,IF(F30='BMP Types'!$A$5,0.02*G30,IF(F30='BMP Types'!$A$6,0.06*G30,IF(F30='BMP Types'!$A$7,0.04*G30,IF(F30='BMP Types'!$A$8,0.05*M30,IF(F30='BMP Types'!$A$10,0.05*M30+H30,VLOOKUP(F30,'BMP Types'!$C$2:$D$15,2,FALSE)*S30)))))),R30))))))))</f>
        <v/>
      </c>
      <c r="U30" s="71" t="str">
        <f t="shared" si="3"/>
        <v/>
      </c>
      <c r="V30" s="75" t="str">
        <f t="shared" si="4"/>
        <v/>
      </c>
      <c r="W30" s="71" t="str">
        <f t="shared" si="5"/>
        <v/>
      </c>
      <c r="X30" s="182"/>
      <c r="Y30" s="92" t="str">
        <f t="shared" si="6"/>
        <v/>
      </c>
    </row>
    <row r="31" spans="2:25" x14ac:dyDescent="0.3">
      <c r="B31" s="48" t="str">
        <f t="shared" si="7"/>
        <v/>
      </c>
      <c r="C31" s="172"/>
      <c r="D31" s="172"/>
      <c r="E31" s="173"/>
      <c r="F31" s="168"/>
      <c r="G31" s="191"/>
      <c r="H31" s="191"/>
      <c r="I31" s="174"/>
      <c r="J31" s="175"/>
      <c r="K31" s="176"/>
      <c r="L31" s="176"/>
      <c r="M31" s="176"/>
      <c r="N31" s="176"/>
      <c r="O31" s="70" t="str">
        <f>IF(B31="","",IF(AND(OR('1. Site Drainage Areas'!$D$4="Tidal MS4",'1. Site Drainage Areas'!$D$4="Non-tidal MS4"),VLOOKUP(C31,'1. Site Drainage Areas'!$D$5:$E$21,2,FALSE)="No"),'Site Data'!$N$19/12*0.95*N31*0.5,"N/A"))</f>
        <v/>
      </c>
      <c r="P31" s="70" t="str">
        <f t="shared" si="0"/>
        <v/>
      </c>
      <c r="Q31" s="71" t="str">
        <f t="shared" si="1"/>
        <v/>
      </c>
      <c r="R31" s="71" t="str">
        <f t="shared" si="2"/>
        <v/>
      </c>
      <c r="S31" s="176"/>
      <c r="T31" s="222" t="str">
        <f>IF(F31="","",IF(F31='BMP Types'!$A$22,5*I31,IF(F31='BMP Types'!$A$23,10*I31,IF(F31='BMP Types'!$A$24,10*I31,IF(F31='BMP Types'!$A$25,20*I31,IF(F31='BMP Types'!$A$26,30*I31,IF(F31='BMP Types'!$A$27,40*I31,MIN(IF(F31='BMP Types'!$A$4,0.04*G31,IF(F31='BMP Types'!$A$5,0.02*G31,IF(F31='BMP Types'!$A$6,0.06*G31,IF(F31='BMP Types'!$A$7,0.04*G31,IF(F31='BMP Types'!$A$8,0.05*M31,IF(F31='BMP Types'!$A$10,0.05*M31+H31,VLOOKUP(F31,'BMP Types'!$C$2:$D$15,2,FALSE)*S31)))))),R31))))))))</f>
        <v/>
      </c>
      <c r="U31" s="71" t="str">
        <f t="shared" si="3"/>
        <v/>
      </c>
      <c r="V31" s="75" t="str">
        <f t="shared" si="4"/>
        <v/>
      </c>
      <c r="W31" s="71" t="str">
        <f t="shared" si="5"/>
        <v/>
      </c>
      <c r="X31" s="182"/>
      <c r="Y31" s="92" t="str">
        <f t="shared" si="6"/>
        <v/>
      </c>
    </row>
    <row r="32" spans="2:25" x14ac:dyDescent="0.3">
      <c r="B32" s="48" t="str">
        <f t="shared" si="7"/>
        <v/>
      </c>
      <c r="C32" s="172"/>
      <c r="D32" s="172"/>
      <c r="E32" s="173"/>
      <c r="F32" s="168"/>
      <c r="G32" s="191"/>
      <c r="H32" s="191"/>
      <c r="I32" s="174"/>
      <c r="J32" s="175"/>
      <c r="K32" s="176"/>
      <c r="L32" s="176"/>
      <c r="M32" s="176"/>
      <c r="N32" s="176"/>
      <c r="O32" s="70" t="str">
        <f>IF(B32="","",IF(AND(OR('1. Site Drainage Areas'!$D$4="Tidal MS4",'1. Site Drainage Areas'!$D$4="Non-tidal MS4"),VLOOKUP(C32,'1. Site Drainage Areas'!$D$5:$E$21,2,FALSE)="No"),'Site Data'!$N$19/12*0.95*N32*0.5,"N/A"))</f>
        <v/>
      </c>
      <c r="P32" s="70" t="str">
        <f t="shared" si="0"/>
        <v/>
      </c>
      <c r="Q32" s="71" t="str">
        <f t="shared" si="1"/>
        <v/>
      </c>
      <c r="R32" s="71" t="str">
        <f t="shared" si="2"/>
        <v/>
      </c>
      <c r="S32" s="176"/>
      <c r="T32" s="222" t="str">
        <f>IF(F32="","",IF(F32='BMP Types'!$A$22,5*I32,IF(F32='BMP Types'!$A$23,10*I32,IF(F32='BMP Types'!$A$24,10*I32,IF(F32='BMP Types'!$A$25,20*I32,IF(F32='BMP Types'!$A$26,30*I32,IF(F32='BMP Types'!$A$27,40*I32,MIN(IF(F32='BMP Types'!$A$4,0.04*G32,IF(F32='BMP Types'!$A$5,0.02*G32,IF(F32='BMP Types'!$A$6,0.06*G32,IF(F32='BMP Types'!$A$7,0.04*G32,IF(F32='BMP Types'!$A$8,0.05*M32,IF(F32='BMP Types'!$A$10,0.05*M32+H32,VLOOKUP(F32,'BMP Types'!$C$2:$D$15,2,FALSE)*S32)))))),R32))))))))</f>
        <v/>
      </c>
      <c r="U32" s="71" t="str">
        <f t="shared" si="3"/>
        <v/>
      </c>
      <c r="V32" s="75" t="str">
        <f t="shared" si="4"/>
        <v/>
      </c>
      <c r="W32" s="71" t="str">
        <f t="shared" si="5"/>
        <v/>
      </c>
      <c r="X32" s="182"/>
      <c r="Y32" s="92" t="str">
        <f t="shared" si="6"/>
        <v/>
      </c>
    </row>
    <row r="33" spans="2:25" x14ac:dyDescent="0.3">
      <c r="B33" s="48" t="str">
        <f t="shared" si="7"/>
        <v/>
      </c>
      <c r="C33" s="172"/>
      <c r="D33" s="172"/>
      <c r="E33" s="173"/>
      <c r="F33" s="168"/>
      <c r="G33" s="191"/>
      <c r="H33" s="191"/>
      <c r="I33" s="174"/>
      <c r="J33" s="175"/>
      <c r="K33" s="176"/>
      <c r="L33" s="176"/>
      <c r="M33" s="176"/>
      <c r="N33" s="176"/>
      <c r="O33" s="70" t="str">
        <f>IF(B33="","",IF(AND(OR('1. Site Drainage Areas'!$D$4="Tidal MS4",'1. Site Drainage Areas'!$D$4="Non-tidal MS4"),VLOOKUP(C33,'1. Site Drainage Areas'!$D$5:$E$21,2,FALSE)="No"),'Site Data'!$N$19/12*0.95*N33*0.5,"N/A"))</f>
        <v/>
      </c>
      <c r="P33" s="70" t="str">
        <f t="shared" si="0"/>
        <v/>
      </c>
      <c r="Q33" s="71" t="str">
        <f t="shared" si="1"/>
        <v/>
      </c>
      <c r="R33" s="71" t="str">
        <f t="shared" si="2"/>
        <v/>
      </c>
      <c r="S33" s="176"/>
      <c r="T33" s="222" t="str">
        <f>IF(F33="","",IF(F33='BMP Types'!$A$22,5*I33,IF(F33='BMP Types'!$A$23,10*I33,IF(F33='BMP Types'!$A$24,10*I33,IF(F33='BMP Types'!$A$25,20*I33,IF(F33='BMP Types'!$A$26,30*I33,IF(F33='BMP Types'!$A$27,40*I33,MIN(IF(F33='BMP Types'!$A$4,0.04*G33,IF(F33='BMP Types'!$A$5,0.02*G33,IF(F33='BMP Types'!$A$6,0.06*G33,IF(F33='BMP Types'!$A$7,0.04*G33,IF(F33='BMP Types'!$A$8,0.05*M33,IF(F33='BMP Types'!$A$10,0.05*M33+H33,VLOOKUP(F33,'BMP Types'!$C$2:$D$15,2,FALSE)*S33)))))),R33))))))))</f>
        <v/>
      </c>
      <c r="U33" s="71" t="str">
        <f t="shared" si="3"/>
        <v/>
      </c>
      <c r="V33" s="75" t="str">
        <f t="shared" si="4"/>
        <v/>
      </c>
      <c r="W33" s="71" t="str">
        <f t="shared" si="5"/>
        <v/>
      </c>
      <c r="X33" s="182"/>
      <c r="Y33" s="92" t="str">
        <f t="shared" si="6"/>
        <v/>
      </c>
    </row>
    <row r="34" spans="2:25" x14ac:dyDescent="0.3">
      <c r="B34" s="48" t="str">
        <f t="shared" si="7"/>
        <v/>
      </c>
      <c r="C34" s="172"/>
      <c r="D34" s="172"/>
      <c r="E34" s="173"/>
      <c r="F34" s="168"/>
      <c r="G34" s="191"/>
      <c r="H34" s="191"/>
      <c r="I34" s="174"/>
      <c r="J34" s="175"/>
      <c r="K34" s="176"/>
      <c r="L34" s="176"/>
      <c r="M34" s="176"/>
      <c r="N34" s="176"/>
      <c r="O34" s="70" t="str">
        <f>IF(B34="","",IF(AND(OR('1. Site Drainage Areas'!$D$4="Tidal MS4",'1. Site Drainage Areas'!$D$4="Non-tidal MS4"),VLOOKUP(C34,'1. Site Drainage Areas'!$D$5:$E$21,2,FALSE)="No"),'Site Data'!$N$19/12*0.95*N34*0.5,"N/A"))</f>
        <v/>
      </c>
      <c r="P34" s="70" t="str">
        <f t="shared" si="0"/>
        <v/>
      </c>
      <c r="Q34" s="71" t="str">
        <f t="shared" si="1"/>
        <v/>
      </c>
      <c r="R34" s="71" t="str">
        <f t="shared" si="2"/>
        <v/>
      </c>
      <c r="S34" s="176"/>
      <c r="T34" s="222" t="str">
        <f>IF(F34="","",IF(F34='BMP Types'!$A$22,5*I34,IF(F34='BMP Types'!$A$23,10*I34,IF(F34='BMP Types'!$A$24,10*I34,IF(F34='BMP Types'!$A$25,20*I34,IF(F34='BMP Types'!$A$26,30*I34,IF(F34='BMP Types'!$A$27,40*I34,MIN(IF(F34='BMP Types'!$A$4,0.04*G34,IF(F34='BMP Types'!$A$5,0.02*G34,IF(F34='BMP Types'!$A$6,0.06*G34,IF(F34='BMP Types'!$A$7,0.04*G34,IF(F34='BMP Types'!$A$8,0.05*M34,IF(F34='BMP Types'!$A$10,0.05*M34+H34,VLOOKUP(F34,'BMP Types'!$C$2:$D$15,2,FALSE)*S34)))))),R34))))))))</f>
        <v/>
      </c>
      <c r="U34" s="71" t="str">
        <f t="shared" si="3"/>
        <v/>
      </c>
      <c r="V34" s="75" t="str">
        <f t="shared" si="4"/>
        <v/>
      </c>
      <c r="W34" s="71" t="str">
        <f t="shared" si="5"/>
        <v/>
      </c>
      <c r="X34" s="182"/>
      <c r="Y34" s="92" t="str">
        <f t="shared" si="6"/>
        <v/>
      </c>
    </row>
    <row r="35" spans="2:25" x14ac:dyDescent="0.3">
      <c r="B35" s="48" t="str">
        <f t="shared" si="7"/>
        <v/>
      </c>
      <c r="C35" s="172"/>
      <c r="D35" s="172"/>
      <c r="E35" s="173"/>
      <c r="F35" s="168"/>
      <c r="G35" s="191"/>
      <c r="H35" s="191"/>
      <c r="I35" s="174"/>
      <c r="J35" s="175"/>
      <c r="K35" s="176"/>
      <c r="L35" s="176"/>
      <c r="M35" s="176"/>
      <c r="N35" s="176"/>
      <c r="O35" s="70" t="str">
        <f>IF(B35="","",IF(AND(OR('1. Site Drainage Areas'!$D$4="Tidal MS4",'1. Site Drainage Areas'!$D$4="Non-tidal MS4"),VLOOKUP(C35,'1. Site Drainage Areas'!$D$5:$E$21,2,FALSE)="No"),'Site Data'!$N$19/12*0.95*N35*0.5,"N/A"))</f>
        <v/>
      </c>
      <c r="P35" s="70" t="str">
        <f t="shared" si="0"/>
        <v/>
      </c>
      <c r="Q35" s="71" t="str">
        <f t="shared" si="1"/>
        <v/>
      </c>
      <c r="R35" s="71" t="str">
        <f t="shared" si="2"/>
        <v/>
      </c>
      <c r="S35" s="176"/>
      <c r="T35" s="222" t="str">
        <f>IF(F35="","",IF(F35='BMP Types'!$A$22,5*I35,IF(F35='BMP Types'!$A$23,10*I35,IF(F35='BMP Types'!$A$24,10*I35,IF(F35='BMP Types'!$A$25,20*I35,IF(F35='BMP Types'!$A$26,30*I35,IF(F35='BMP Types'!$A$27,40*I35,MIN(IF(F35='BMP Types'!$A$4,0.04*G35,IF(F35='BMP Types'!$A$5,0.02*G35,IF(F35='BMP Types'!$A$6,0.06*G35,IF(F35='BMP Types'!$A$7,0.04*G35,IF(F35='BMP Types'!$A$8,0.05*M35,IF(F35='BMP Types'!$A$10,0.05*M35+H35,VLOOKUP(F35,'BMP Types'!$C$2:$D$15,2,FALSE)*S35)))))),R35))))))))</f>
        <v/>
      </c>
      <c r="U35" s="71" t="str">
        <f t="shared" si="3"/>
        <v/>
      </c>
      <c r="V35" s="75" t="str">
        <f t="shared" si="4"/>
        <v/>
      </c>
      <c r="W35" s="71" t="str">
        <f t="shared" si="5"/>
        <v/>
      </c>
      <c r="X35" s="182"/>
      <c r="Y35" s="92" t="str">
        <f t="shared" si="6"/>
        <v/>
      </c>
    </row>
    <row r="36" spans="2:25" x14ac:dyDescent="0.3">
      <c r="B36" s="48" t="str">
        <f t="shared" si="7"/>
        <v/>
      </c>
      <c r="C36" s="172"/>
      <c r="D36" s="172"/>
      <c r="E36" s="173"/>
      <c r="F36" s="168"/>
      <c r="G36" s="191"/>
      <c r="H36" s="191"/>
      <c r="I36" s="174"/>
      <c r="J36" s="175"/>
      <c r="K36" s="176"/>
      <c r="L36" s="176"/>
      <c r="M36" s="176"/>
      <c r="N36" s="176"/>
      <c r="O36" s="70" t="str">
        <f>IF(B36="","",IF(AND(OR('1. Site Drainage Areas'!$D$4="Tidal MS4",'1. Site Drainage Areas'!$D$4="Non-tidal MS4"),VLOOKUP(C36,'1. Site Drainage Areas'!$D$5:$E$21,2,FALSE)="No"),'Site Data'!$N$19/12*0.95*N36*0.5,"N/A"))</f>
        <v/>
      </c>
      <c r="P36" s="70" t="str">
        <f t="shared" si="0"/>
        <v/>
      </c>
      <c r="Q36" s="71" t="str">
        <f t="shared" si="1"/>
        <v/>
      </c>
      <c r="R36" s="71" t="str">
        <f t="shared" si="2"/>
        <v/>
      </c>
      <c r="S36" s="176"/>
      <c r="T36" s="222" t="str">
        <f>IF(F36="","",IF(F36='BMP Types'!$A$22,5*I36,IF(F36='BMP Types'!$A$23,10*I36,IF(F36='BMP Types'!$A$24,10*I36,IF(F36='BMP Types'!$A$25,20*I36,IF(F36='BMP Types'!$A$26,30*I36,IF(F36='BMP Types'!$A$27,40*I36,MIN(IF(F36='BMP Types'!$A$4,0.04*G36,IF(F36='BMP Types'!$A$5,0.02*G36,IF(F36='BMP Types'!$A$6,0.06*G36,IF(F36='BMP Types'!$A$7,0.04*G36,IF(F36='BMP Types'!$A$8,0.05*M36,IF(F36='BMP Types'!$A$10,0.05*M36+H36,VLOOKUP(F36,'BMP Types'!$C$2:$D$15,2,FALSE)*S36)))))),R36))))))))</f>
        <v/>
      </c>
      <c r="U36" s="71" t="str">
        <f t="shared" si="3"/>
        <v/>
      </c>
      <c r="V36" s="75" t="str">
        <f t="shared" si="4"/>
        <v/>
      </c>
      <c r="W36" s="71" t="str">
        <f t="shared" si="5"/>
        <v/>
      </c>
      <c r="X36" s="182"/>
      <c r="Y36" s="92" t="str">
        <f t="shared" si="6"/>
        <v/>
      </c>
    </row>
    <row r="37" spans="2:25" x14ac:dyDescent="0.3">
      <c r="B37" s="48" t="str">
        <f t="shared" si="7"/>
        <v/>
      </c>
      <c r="C37" s="172"/>
      <c r="D37" s="172"/>
      <c r="E37" s="173"/>
      <c r="F37" s="168"/>
      <c r="G37" s="191"/>
      <c r="H37" s="191"/>
      <c r="I37" s="174"/>
      <c r="J37" s="175"/>
      <c r="K37" s="176"/>
      <c r="L37" s="176"/>
      <c r="M37" s="176"/>
      <c r="N37" s="176"/>
      <c r="O37" s="70" t="str">
        <f>IF(B37="","",IF(AND(OR('1. Site Drainage Areas'!$D$4="Tidal MS4",'1. Site Drainage Areas'!$D$4="Non-tidal MS4"),VLOOKUP(C37,'1. Site Drainage Areas'!$D$5:$E$21,2,FALSE)="No"),'Site Data'!$N$19/12*0.95*N37*0.5,"N/A"))</f>
        <v/>
      </c>
      <c r="P37" s="70" t="str">
        <f t="shared" si="0"/>
        <v/>
      </c>
      <c r="Q37" s="71" t="str">
        <f t="shared" si="1"/>
        <v/>
      </c>
      <c r="R37" s="71" t="str">
        <f t="shared" si="2"/>
        <v/>
      </c>
      <c r="S37" s="176"/>
      <c r="T37" s="222" t="str">
        <f>IF(F37="","",IF(F37='BMP Types'!$A$22,5*I37,IF(F37='BMP Types'!$A$23,10*I37,IF(F37='BMP Types'!$A$24,10*I37,IF(F37='BMP Types'!$A$25,20*I37,IF(F37='BMP Types'!$A$26,30*I37,IF(F37='BMP Types'!$A$27,40*I37,MIN(IF(F37='BMP Types'!$A$4,0.04*G37,IF(F37='BMP Types'!$A$5,0.02*G37,IF(F37='BMP Types'!$A$6,0.06*G37,IF(F37='BMP Types'!$A$7,0.04*G37,IF(F37='BMP Types'!$A$8,0.05*M37,IF(F37='BMP Types'!$A$10,0.05*M37+H37,VLOOKUP(F37,'BMP Types'!$C$2:$D$15,2,FALSE)*S37)))))),R37))))))))</f>
        <v/>
      </c>
      <c r="U37" s="71" t="str">
        <f t="shared" si="3"/>
        <v/>
      </c>
      <c r="V37" s="75" t="str">
        <f t="shared" si="4"/>
        <v/>
      </c>
      <c r="W37" s="71" t="str">
        <f t="shared" si="5"/>
        <v/>
      </c>
      <c r="X37" s="182"/>
      <c r="Y37" s="92" t="str">
        <f t="shared" si="6"/>
        <v/>
      </c>
    </row>
    <row r="38" spans="2:25" x14ac:dyDescent="0.3">
      <c r="B38" s="48" t="str">
        <f t="shared" si="7"/>
        <v/>
      </c>
      <c r="C38" s="172"/>
      <c r="D38" s="172"/>
      <c r="E38" s="173"/>
      <c r="F38" s="168"/>
      <c r="G38" s="191"/>
      <c r="H38" s="191"/>
      <c r="I38" s="174"/>
      <c r="J38" s="175"/>
      <c r="K38" s="176"/>
      <c r="L38" s="176"/>
      <c r="M38" s="176"/>
      <c r="N38" s="176"/>
      <c r="O38" s="70" t="str">
        <f>IF(B38="","",IF(AND(OR('1. Site Drainage Areas'!$D$4="Tidal MS4",'1. Site Drainage Areas'!$D$4="Non-tidal MS4"),VLOOKUP(C38,'1. Site Drainage Areas'!$D$5:$E$21,2,FALSE)="No"),'Site Data'!$N$19/12*0.95*N38*0.5,"N/A"))</f>
        <v/>
      </c>
      <c r="P38" s="70" t="str">
        <f t="shared" si="0"/>
        <v/>
      </c>
      <c r="Q38" s="71" t="str">
        <f t="shared" si="1"/>
        <v/>
      </c>
      <c r="R38" s="71" t="str">
        <f t="shared" si="2"/>
        <v/>
      </c>
      <c r="S38" s="176"/>
      <c r="T38" s="222" t="str">
        <f>IF(F38="","",IF(F38='BMP Types'!$A$22,5*I38,IF(F38='BMP Types'!$A$23,10*I38,IF(F38='BMP Types'!$A$24,10*I38,IF(F38='BMP Types'!$A$25,20*I38,IF(F38='BMP Types'!$A$26,30*I38,IF(F38='BMP Types'!$A$27,40*I38,MIN(IF(F38='BMP Types'!$A$4,0.04*G38,IF(F38='BMP Types'!$A$5,0.02*G38,IF(F38='BMP Types'!$A$6,0.06*G38,IF(F38='BMP Types'!$A$7,0.04*G38,IF(F38='BMP Types'!$A$8,0.05*M38,IF(F38='BMP Types'!$A$10,0.05*M38+H38,VLOOKUP(F38,'BMP Types'!$C$2:$D$15,2,FALSE)*S38)))))),R38))))))))</f>
        <v/>
      </c>
      <c r="U38" s="71" t="str">
        <f t="shared" si="3"/>
        <v/>
      </c>
      <c r="V38" s="75" t="str">
        <f t="shared" si="4"/>
        <v/>
      </c>
      <c r="W38" s="71" t="str">
        <f t="shared" si="5"/>
        <v/>
      </c>
      <c r="X38" s="182"/>
      <c r="Y38" s="92" t="str">
        <f t="shared" si="6"/>
        <v/>
      </c>
    </row>
    <row r="39" spans="2:25" x14ac:dyDescent="0.3">
      <c r="B39" s="48" t="str">
        <f t="shared" si="7"/>
        <v/>
      </c>
      <c r="C39" s="172"/>
      <c r="D39" s="172"/>
      <c r="E39" s="173"/>
      <c r="F39" s="168"/>
      <c r="G39" s="191"/>
      <c r="H39" s="191"/>
      <c r="I39" s="174"/>
      <c r="J39" s="175"/>
      <c r="K39" s="176"/>
      <c r="L39" s="176"/>
      <c r="M39" s="176"/>
      <c r="N39" s="176"/>
      <c r="O39" s="70" t="str">
        <f>IF(B39="","",IF(AND(OR('1. Site Drainage Areas'!$D$4="Tidal MS4",'1. Site Drainage Areas'!$D$4="Non-tidal MS4"),VLOOKUP(C39,'1. Site Drainage Areas'!$D$5:$E$21,2,FALSE)="No"),'Site Data'!$N$19/12*0.95*N39*0.5,"N/A"))</f>
        <v/>
      </c>
      <c r="P39" s="70" t="str">
        <f t="shared" ref="P39:P55" si="8">IF(B39="","",(1.7/12*(0*J39+0.25*K39+0.95*SUM(L39:M39))))</f>
        <v/>
      </c>
      <c r="Q39" s="71" t="str">
        <f t="shared" ref="Q39:Q55" si="9">IF(B39="","",(SUMIFS(Volume_Remaining,BMP_ID,"&lt;&gt;",DownstreamBMP,B39)))</f>
        <v/>
      </c>
      <c r="R39" s="71" t="str">
        <f t="shared" ref="R39:R55" si="10">IF(B39="","",(P39+Q39))</f>
        <v/>
      </c>
      <c r="S39" s="176"/>
      <c r="T39" s="222" t="str">
        <f>IF(F39="","",IF(F39='BMP Types'!$A$22,5*I39,IF(F39='BMP Types'!$A$23,10*I39,IF(F39='BMP Types'!$A$24,10*I39,IF(F39='BMP Types'!$A$25,20*I39,IF(F39='BMP Types'!$A$26,30*I39,IF(F39='BMP Types'!$A$27,40*I39,MIN(IF(F39='BMP Types'!$A$4,0.04*G39,IF(F39='BMP Types'!$A$5,0.02*G39,IF(F39='BMP Types'!$A$6,0.06*G39,IF(F39='BMP Types'!$A$7,0.04*G39,IF(F39='BMP Types'!$A$8,0.05*M39,IF(F39='BMP Types'!$A$10,0.05*M39+H39,VLOOKUP(F39,'BMP Types'!$C$2:$D$15,2,FALSE)*S39)))))),R39))))))))</f>
        <v/>
      </c>
      <c r="U39" s="71" t="str">
        <f t="shared" ref="U39:U55" si="11">IF(B39="","",(IF((R39-T39)&gt;0,R39-T39,0)))</f>
        <v/>
      </c>
      <c r="V39" s="75" t="str">
        <f t="shared" ref="V39:V55" si="12">IF(B39="","",IF(T39&lt;S39,IF(MIN(R39,S39)-T39&gt;0,MIN(R39,S39)-T39,0),0))</f>
        <v/>
      </c>
      <c r="W39" s="71" t="str">
        <f t="shared" ref="W39:W55" si="13">IF(B39="","",T39+V39)</f>
        <v/>
      </c>
      <c r="X39" s="182"/>
      <c r="Y39" s="92" t="str">
        <f t="shared" ref="Y39:Y55" si="14">IF(B39="","",(IF(O39="N/A","N/A",(IF(O39&gt;0,IF(W39&gt;=O39,"Yes","No"),"N/A")))))</f>
        <v/>
      </c>
    </row>
    <row r="40" spans="2:25" x14ac:dyDescent="0.3">
      <c r="B40" s="48" t="str">
        <f t="shared" si="7"/>
        <v/>
      </c>
      <c r="C40" s="172"/>
      <c r="D40" s="172"/>
      <c r="E40" s="173"/>
      <c r="F40" s="168"/>
      <c r="G40" s="191"/>
      <c r="H40" s="191"/>
      <c r="I40" s="174"/>
      <c r="J40" s="175"/>
      <c r="K40" s="176"/>
      <c r="L40" s="176"/>
      <c r="M40" s="176"/>
      <c r="N40" s="176"/>
      <c r="O40" s="70" t="str">
        <f>IF(B40="","",IF(AND(OR('1. Site Drainage Areas'!$D$4="Tidal MS4",'1. Site Drainage Areas'!$D$4="Non-tidal MS4"),VLOOKUP(C40,'1. Site Drainage Areas'!$D$5:$E$21,2,FALSE)="No"),'Site Data'!$N$19/12*0.95*N40*0.5,"N/A"))</f>
        <v/>
      </c>
      <c r="P40" s="70" t="str">
        <f t="shared" si="8"/>
        <v/>
      </c>
      <c r="Q40" s="71" t="str">
        <f t="shared" si="9"/>
        <v/>
      </c>
      <c r="R40" s="71" t="str">
        <f t="shared" si="10"/>
        <v/>
      </c>
      <c r="S40" s="176"/>
      <c r="T40" s="222" t="str">
        <f>IF(F40="","",IF(F40='BMP Types'!$A$22,5*I40,IF(F40='BMP Types'!$A$23,10*I40,IF(F40='BMP Types'!$A$24,10*I40,IF(F40='BMP Types'!$A$25,20*I40,IF(F40='BMP Types'!$A$26,30*I40,IF(F40='BMP Types'!$A$27,40*I40,MIN(IF(F40='BMP Types'!$A$4,0.04*G40,IF(F40='BMP Types'!$A$5,0.02*G40,IF(F40='BMP Types'!$A$6,0.06*G40,IF(F40='BMP Types'!$A$7,0.04*G40,IF(F40='BMP Types'!$A$8,0.05*M40,IF(F40='BMP Types'!$A$10,0.05*M40+H40,VLOOKUP(F40,'BMP Types'!$C$2:$D$15,2,FALSE)*S40)))))),R40))))))))</f>
        <v/>
      </c>
      <c r="U40" s="71" t="str">
        <f t="shared" si="11"/>
        <v/>
      </c>
      <c r="V40" s="75" t="str">
        <f t="shared" si="12"/>
        <v/>
      </c>
      <c r="W40" s="71" t="str">
        <f t="shared" si="13"/>
        <v/>
      </c>
      <c r="X40" s="182"/>
      <c r="Y40" s="92" t="str">
        <f t="shared" si="14"/>
        <v/>
      </c>
    </row>
    <row r="41" spans="2:25" x14ac:dyDescent="0.3">
      <c r="B41" s="48" t="str">
        <f t="shared" si="7"/>
        <v/>
      </c>
      <c r="C41" s="172"/>
      <c r="D41" s="172"/>
      <c r="E41" s="173"/>
      <c r="F41" s="168"/>
      <c r="G41" s="191"/>
      <c r="H41" s="191"/>
      <c r="I41" s="174"/>
      <c r="J41" s="175"/>
      <c r="K41" s="176"/>
      <c r="L41" s="176"/>
      <c r="M41" s="176"/>
      <c r="N41" s="176"/>
      <c r="O41" s="70" t="str">
        <f>IF(B41="","",IF(AND(OR('1. Site Drainage Areas'!$D$4="Tidal MS4",'1. Site Drainage Areas'!$D$4="Non-tidal MS4"),VLOOKUP(C41,'1. Site Drainage Areas'!$D$5:$E$21,2,FALSE)="No"),'Site Data'!$N$19/12*0.95*N41*0.5,"N/A"))</f>
        <v/>
      </c>
      <c r="P41" s="70" t="str">
        <f t="shared" si="8"/>
        <v/>
      </c>
      <c r="Q41" s="71" t="str">
        <f t="shared" si="9"/>
        <v/>
      </c>
      <c r="R41" s="71" t="str">
        <f t="shared" si="10"/>
        <v/>
      </c>
      <c r="S41" s="176"/>
      <c r="T41" s="222" t="str">
        <f>IF(F41="","",IF(F41='BMP Types'!$A$22,5*I41,IF(F41='BMP Types'!$A$23,10*I41,IF(F41='BMP Types'!$A$24,10*I41,IF(F41='BMP Types'!$A$25,20*I41,IF(F41='BMP Types'!$A$26,30*I41,IF(F41='BMP Types'!$A$27,40*I41,MIN(IF(F41='BMP Types'!$A$4,0.04*G41,IF(F41='BMP Types'!$A$5,0.02*G41,IF(F41='BMP Types'!$A$6,0.06*G41,IF(F41='BMP Types'!$A$7,0.04*G41,IF(F41='BMP Types'!$A$8,0.05*M41,IF(F41='BMP Types'!$A$10,0.05*M41+H41,VLOOKUP(F41,'BMP Types'!$C$2:$D$15,2,FALSE)*S41)))))),R41))))))))</f>
        <v/>
      </c>
      <c r="U41" s="71" t="str">
        <f t="shared" si="11"/>
        <v/>
      </c>
      <c r="V41" s="75" t="str">
        <f t="shared" si="12"/>
        <v/>
      </c>
      <c r="W41" s="71" t="str">
        <f t="shared" si="13"/>
        <v/>
      </c>
      <c r="X41" s="182"/>
      <c r="Y41" s="92" t="str">
        <f t="shared" si="14"/>
        <v/>
      </c>
    </row>
    <row r="42" spans="2:25" x14ac:dyDescent="0.3">
      <c r="B42" s="48" t="str">
        <f t="shared" si="7"/>
        <v/>
      </c>
      <c r="C42" s="172"/>
      <c r="D42" s="172"/>
      <c r="E42" s="173"/>
      <c r="F42" s="168"/>
      <c r="G42" s="191"/>
      <c r="H42" s="191"/>
      <c r="I42" s="174"/>
      <c r="J42" s="175"/>
      <c r="K42" s="176"/>
      <c r="L42" s="176"/>
      <c r="M42" s="176"/>
      <c r="N42" s="176"/>
      <c r="O42" s="70" t="str">
        <f>IF(B42="","",IF(AND(OR('1. Site Drainage Areas'!$D$4="Tidal MS4",'1. Site Drainage Areas'!$D$4="Non-tidal MS4"),VLOOKUP(C42,'1. Site Drainage Areas'!$D$5:$E$21,2,FALSE)="No"),'Site Data'!$N$19/12*0.95*N42*0.5,"N/A"))</f>
        <v/>
      </c>
      <c r="P42" s="70" t="str">
        <f t="shared" si="8"/>
        <v/>
      </c>
      <c r="Q42" s="71" t="str">
        <f t="shared" si="9"/>
        <v/>
      </c>
      <c r="R42" s="71" t="str">
        <f t="shared" si="10"/>
        <v/>
      </c>
      <c r="S42" s="176"/>
      <c r="T42" s="222" t="str">
        <f>IF(F42="","",IF(F42='BMP Types'!$A$22,5*I42,IF(F42='BMP Types'!$A$23,10*I42,IF(F42='BMP Types'!$A$24,10*I42,IF(F42='BMP Types'!$A$25,20*I42,IF(F42='BMP Types'!$A$26,30*I42,IF(F42='BMP Types'!$A$27,40*I42,MIN(IF(F42='BMP Types'!$A$4,0.04*G42,IF(F42='BMP Types'!$A$5,0.02*G42,IF(F42='BMP Types'!$A$6,0.06*G42,IF(F42='BMP Types'!$A$7,0.04*G42,IF(F42='BMP Types'!$A$8,0.05*M42,IF(F42='BMP Types'!$A$10,0.05*M42+H42,VLOOKUP(F42,'BMP Types'!$C$2:$D$15,2,FALSE)*S42)))))),R42))))))))</f>
        <v/>
      </c>
      <c r="U42" s="71" t="str">
        <f t="shared" si="11"/>
        <v/>
      </c>
      <c r="V42" s="75" t="str">
        <f t="shared" si="12"/>
        <v/>
      </c>
      <c r="W42" s="71" t="str">
        <f t="shared" si="13"/>
        <v/>
      </c>
      <c r="X42" s="182"/>
      <c r="Y42" s="92" t="str">
        <f t="shared" si="14"/>
        <v/>
      </c>
    </row>
    <row r="43" spans="2:25" x14ac:dyDescent="0.3">
      <c r="B43" s="48" t="str">
        <f t="shared" si="7"/>
        <v/>
      </c>
      <c r="C43" s="172"/>
      <c r="D43" s="172"/>
      <c r="E43" s="173"/>
      <c r="F43" s="168"/>
      <c r="G43" s="191"/>
      <c r="H43" s="191"/>
      <c r="I43" s="174"/>
      <c r="J43" s="175"/>
      <c r="K43" s="176"/>
      <c r="L43" s="176"/>
      <c r="M43" s="176"/>
      <c r="N43" s="176"/>
      <c r="O43" s="70" t="str">
        <f>IF(B43="","",IF(AND(OR('1. Site Drainage Areas'!$D$4="Tidal MS4",'1. Site Drainage Areas'!$D$4="Non-tidal MS4"),VLOOKUP(C43,'1. Site Drainage Areas'!$D$5:$E$21,2,FALSE)="No"),'Site Data'!$N$19/12*0.95*N43*0.5,"N/A"))</f>
        <v/>
      </c>
      <c r="P43" s="70" t="str">
        <f t="shared" si="8"/>
        <v/>
      </c>
      <c r="Q43" s="71" t="str">
        <f t="shared" si="9"/>
        <v/>
      </c>
      <c r="R43" s="71" t="str">
        <f t="shared" si="10"/>
        <v/>
      </c>
      <c r="S43" s="176"/>
      <c r="T43" s="222" t="str">
        <f>IF(F43="","",IF(F43='BMP Types'!$A$22,5*I43,IF(F43='BMP Types'!$A$23,10*I43,IF(F43='BMP Types'!$A$24,10*I43,IF(F43='BMP Types'!$A$25,20*I43,IF(F43='BMP Types'!$A$26,30*I43,IF(F43='BMP Types'!$A$27,40*I43,MIN(IF(F43='BMP Types'!$A$4,0.04*G43,IF(F43='BMP Types'!$A$5,0.02*G43,IF(F43='BMP Types'!$A$6,0.06*G43,IF(F43='BMP Types'!$A$7,0.04*G43,IF(F43='BMP Types'!$A$8,0.05*M43,IF(F43='BMP Types'!$A$10,0.05*M43+H43,VLOOKUP(F43,'BMP Types'!$C$2:$D$15,2,FALSE)*S43)))))),R43))))))))</f>
        <v/>
      </c>
      <c r="U43" s="71" t="str">
        <f t="shared" si="11"/>
        <v/>
      </c>
      <c r="V43" s="75" t="str">
        <f t="shared" si="12"/>
        <v/>
      </c>
      <c r="W43" s="71" t="str">
        <f t="shared" si="13"/>
        <v/>
      </c>
      <c r="X43" s="182"/>
      <c r="Y43" s="92" t="str">
        <f t="shared" si="14"/>
        <v/>
      </c>
    </row>
    <row r="44" spans="2:25" x14ac:dyDescent="0.3">
      <c r="B44" s="48" t="str">
        <f t="shared" si="7"/>
        <v/>
      </c>
      <c r="C44" s="172"/>
      <c r="D44" s="172"/>
      <c r="E44" s="173"/>
      <c r="F44" s="168"/>
      <c r="G44" s="191"/>
      <c r="H44" s="191"/>
      <c r="I44" s="174"/>
      <c r="J44" s="175"/>
      <c r="K44" s="176"/>
      <c r="L44" s="176"/>
      <c r="M44" s="176"/>
      <c r="N44" s="176"/>
      <c r="O44" s="70" t="str">
        <f>IF(B44="","",IF(AND(OR('1. Site Drainage Areas'!$D$4="Tidal MS4",'1. Site Drainage Areas'!$D$4="Non-tidal MS4"),VLOOKUP(C44,'1. Site Drainage Areas'!$D$5:$E$21,2,FALSE)="No"),'Site Data'!$N$19/12*0.95*N44*0.5,"N/A"))</f>
        <v/>
      </c>
      <c r="P44" s="70" t="str">
        <f t="shared" si="8"/>
        <v/>
      </c>
      <c r="Q44" s="71" t="str">
        <f t="shared" si="9"/>
        <v/>
      </c>
      <c r="R44" s="71" t="str">
        <f t="shared" si="10"/>
        <v/>
      </c>
      <c r="S44" s="176"/>
      <c r="T44" s="222" t="str">
        <f>IF(F44="","",IF(F44='BMP Types'!$A$22,5*I44,IF(F44='BMP Types'!$A$23,10*I44,IF(F44='BMP Types'!$A$24,10*I44,IF(F44='BMP Types'!$A$25,20*I44,IF(F44='BMP Types'!$A$26,30*I44,IF(F44='BMP Types'!$A$27,40*I44,MIN(IF(F44='BMP Types'!$A$4,0.04*G44,IF(F44='BMP Types'!$A$5,0.02*G44,IF(F44='BMP Types'!$A$6,0.06*G44,IF(F44='BMP Types'!$A$7,0.04*G44,IF(F44='BMP Types'!$A$8,0.05*M44,IF(F44='BMP Types'!$A$10,0.05*M44+H44,VLOOKUP(F44,'BMP Types'!$C$2:$D$15,2,FALSE)*S44)))))),R44))))))))</f>
        <v/>
      </c>
      <c r="U44" s="71" t="str">
        <f t="shared" si="11"/>
        <v/>
      </c>
      <c r="V44" s="75" t="str">
        <f t="shared" si="12"/>
        <v/>
      </c>
      <c r="W44" s="71" t="str">
        <f t="shared" si="13"/>
        <v/>
      </c>
      <c r="X44" s="182"/>
      <c r="Y44" s="92" t="str">
        <f t="shared" si="14"/>
        <v/>
      </c>
    </row>
    <row r="45" spans="2:25" x14ac:dyDescent="0.3">
      <c r="B45" s="48" t="str">
        <f t="shared" si="7"/>
        <v/>
      </c>
      <c r="C45" s="172"/>
      <c r="D45" s="172"/>
      <c r="E45" s="173"/>
      <c r="F45" s="168"/>
      <c r="G45" s="191"/>
      <c r="H45" s="191"/>
      <c r="I45" s="174"/>
      <c r="J45" s="175"/>
      <c r="K45" s="176"/>
      <c r="L45" s="176"/>
      <c r="M45" s="176"/>
      <c r="N45" s="176"/>
      <c r="O45" s="70" t="str">
        <f>IF(B45="","",IF(AND(OR('1. Site Drainage Areas'!$D$4="Tidal MS4",'1. Site Drainage Areas'!$D$4="Non-tidal MS4"),VLOOKUP(C45,'1. Site Drainage Areas'!$D$5:$E$21,2,FALSE)="No"),'Site Data'!$N$19/12*0.95*N45*0.5,"N/A"))</f>
        <v/>
      </c>
      <c r="P45" s="70" t="str">
        <f t="shared" si="8"/>
        <v/>
      </c>
      <c r="Q45" s="71" t="str">
        <f t="shared" si="9"/>
        <v/>
      </c>
      <c r="R45" s="71" t="str">
        <f t="shared" si="10"/>
        <v/>
      </c>
      <c r="S45" s="176"/>
      <c r="T45" s="222" t="str">
        <f>IF(F45="","",IF(F45='BMP Types'!$A$22,5*I45,IF(F45='BMP Types'!$A$23,10*I45,IF(F45='BMP Types'!$A$24,10*I45,IF(F45='BMP Types'!$A$25,20*I45,IF(F45='BMP Types'!$A$26,30*I45,IF(F45='BMP Types'!$A$27,40*I45,MIN(IF(F45='BMP Types'!$A$4,0.04*G45,IF(F45='BMP Types'!$A$5,0.02*G45,IF(F45='BMP Types'!$A$6,0.06*G45,IF(F45='BMP Types'!$A$7,0.04*G45,IF(F45='BMP Types'!$A$8,0.05*M45,IF(F45='BMP Types'!$A$10,0.05*M45+H45,VLOOKUP(F45,'BMP Types'!$C$2:$D$15,2,FALSE)*S45)))))),R45))))))))</f>
        <v/>
      </c>
      <c r="U45" s="71" t="str">
        <f t="shared" si="11"/>
        <v/>
      </c>
      <c r="V45" s="75" t="str">
        <f t="shared" si="12"/>
        <v/>
      </c>
      <c r="W45" s="71" t="str">
        <f t="shared" si="13"/>
        <v/>
      </c>
      <c r="X45" s="182"/>
      <c r="Y45" s="92" t="str">
        <f t="shared" si="14"/>
        <v/>
      </c>
    </row>
    <row r="46" spans="2:25" x14ac:dyDescent="0.3">
      <c r="B46" s="48" t="str">
        <f t="shared" si="7"/>
        <v/>
      </c>
      <c r="C46" s="172"/>
      <c r="D46" s="172"/>
      <c r="E46" s="173"/>
      <c r="F46" s="168"/>
      <c r="G46" s="191"/>
      <c r="H46" s="191"/>
      <c r="I46" s="174"/>
      <c r="J46" s="175"/>
      <c r="K46" s="176"/>
      <c r="L46" s="176"/>
      <c r="M46" s="176"/>
      <c r="N46" s="176"/>
      <c r="O46" s="70" t="str">
        <f>IF(B46="","",IF(AND(OR('1. Site Drainage Areas'!$D$4="Tidal MS4",'1. Site Drainage Areas'!$D$4="Non-tidal MS4"),VLOOKUP(C46,'1. Site Drainage Areas'!$D$5:$E$21,2,FALSE)="No"),'Site Data'!$N$19/12*0.95*N46*0.5,"N/A"))</f>
        <v/>
      </c>
      <c r="P46" s="70" t="str">
        <f t="shared" si="8"/>
        <v/>
      </c>
      <c r="Q46" s="71" t="str">
        <f t="shared" si="9"/>
        <v/>
      </c>
      <c r="R46" s="71" t="str">
        <f t="shared" si="10"/>
        <v/>
      </c>
      <c r="S46" s="176"/>
      <c r="T46" s="222" t="str">
        <f>IF(F46="","",IF(F46='BMP Types'!$A$22,5*I46,IF(F46='BMP Types'!$A$23,10*I46,IF(F46='BMP Types'!$A$24,10*I46,IF(F46='BMP Types'!$A$25,20*I46,IF(F46='BMP Types'!$A$26,30*I46,IF(F46='BMP Types'!$A$27,40*I46,MIN(IF(F46='BMP Types'!$A$4,0.04*G46,IF(F46='BMP Types'!$A$5,0.02*G46,IF(F46='BMP Types'!$A$6,0.06*G46,IF(F46='BMP Types'!$A$7,0.04*G46,IF(F46='BMP Types'!$A$8,0.05*M46,IF(F46='BMP Types'!$A$10,0.05*M46+H46,VLOOKUP(F46,'BMP Types'!$C$2:$D$15,2,FALSE)*S46)))))),R46))))))))</f>
        <v/>
      </c>
      <c r="U46" s="71" t="str">
        <f t="shared" si="11"/>
        <v/>
      </c>
      <c r="V46" s="75" t="str">
        <f t="shared" si="12"/>
        <v/>
      </c>
      <c r="W46" s="71" t="str">
        <f t="shared" si="13"/>
        <v/>
      </c>
      <c r="X46" s="182"/>
      <c r="Y46" s="92" t="str">
        <f t="shared" si="14"/>
        <v/>
      </c>
    </row>
    <row r="47" spans="2:25" x14ac:dyDescent="0.3">
      <c r="B47" s="48" t="str">
        <f t="shared" si="7"/>
        <v/>
      </c>
      <c r="C47" s="172"/>
      <c r="D47" s="172"/>
      <c r="E47" s="173"/>
      <c r="F47" s="168"/>
      <c r="G47" s="191"/>
      <c r="H47" s="191"/>
      <c r="I47" s="174"/>
      <c r="J47" s="175"/>
      <c r="K47" s="176"/>
      <c r="L47" s="176"/>
      <c r="M47" s="176"/>
      <c r="N47" s="176"/>
      <c r="O47" s="70" t="str">
        <f>IF(B47="","",IF(AND(OR('1. Site Drainage Areas'!$D$4="Tidal MS4",'1. Site Drainage Areas'!$D$4="Non-tidal MS4"),VLOOKUP(C47,'1. Site Drainage Areas'!$D$5:$E$21,2,FALSE)="No"),'Site Data'!$N$19/12*0.95*N47*0.5,"N/A"))</f>
        <v/>
      </c>
      <c r="P47" s="70" t="str">
        <f t="shared" si="8"/>
        <v/>
      </c>
      <c r="Q47" s="71" t="str">
        <f t="shared" si="9"/>
        <v/>
      </c>
      <c r="R47" s="71" t="str">
        <f t="shared" si="10"/>
        <v/>
      </c>
      <c r="S47" s="176"/>
      <c r="T47" s="222" t="str">
        <f>IF(F47="","",IF(F47='BMP Types'!$A$22,5*I47,IF(F47='BMP Types'!$A$23,10*I47,IF(F47='BMP Types'!$A$24,10*I47,IF(F47='BMP Types'!$A$25,20*I47,IF(F47='BMP Types'!$A$26,30*I47,IF(F47='BMP Types'!$A$27,40*I47,MIN(IF(F47='BMP Types'!$A$4,0.04*G47,IF(F47='BMP Types'!$A$5,0.02*G47,IF(F47='BMP Types'!$A$6,0.06*G47,IF(F47='BMP Types'!$A$7,0.04*G47,IF(F47='BMP Types'!$A$8,0.05*M47,IF(F47='BMP Types'!$A$10,0.05*M47+H47,VLOOKUP(F47,'BMP Types'!$C$2:$D$15,2,FALSE)*S47)))))),R47))))))))</f>
        <v/>
      </c>
      <c r="U47" s="71" t="str">
        <f t="shared" si="11"/>
        <v/>
      </c>
      <c r="V47" s="75" t="str">
        <f t="shared" si="12"/>
        <v/>
      </c>
      <c r="W47" s="71" t="str">
        <f t="shared" si="13"/>
        <v/>
      </c>
      <c r="X47" s="182"/>
      <c r="Y47" s="92" t="str">
        <f t="shared" si="14"/>
        <v/>
      </c>
    </row>
    <row r="48" spans="2:25" x14ac:dyDescent="0.3">
      <c r="B48" s="48" t="str">
        <f t="shared" si="7"/>
        <v/>
      </c>
      <c r="C48" s="172"/>
      <c r="D48" s="172"/>
      <c r="E48" s="173"/>
      <c r="F48" s="168"/>
      <c r="G48" s="191"/>
      <c r="H48" s="191"/>
      <c r="I48" s="174"/>
      <c r="J48" s="175"/>
      <c r="K48" s="176"/>
      <c r="L48" s="176"/>
      <c r="M48" s="176"/>
      <c r="N48" s="176"/>
      <c r="O48" s="70" t="str">
        <f>IF(B48="","",IF(AND(OR('1. Site Drainage Areas'!$D$4="Tidal MS4",'1. Site Drainage Areas'!$D$4="Non-tidal MS4"),VLOOKUP(C48,'1. Site Drainage Areas'!$D$5:$E$21,2,FALSE)="No"),'Site Data'!$N$19/12*0.95*N48*0.5,"N/A"))</f>
        <v/>
      </c>
      <c r="P48" s="70" t="str">
        <f t="shared" si="8"/>
        <v/>
      </c>
      <c r="Q48" s="71" t="str">
        <f t="shared" si="9"/>
        <v/>
      </c>
      <c r="R48" s="71" t="str">
        <f t="shared" si="10"/>
        <v/>
      </c>
      <c r="S48" s="176"/>
      <c r="T48" s="222" t="str">
        <f>IF(F48="","",IF(F48='BMP Types'!$A$22,5*I48,IF(F48='BMP Types'!$A$23,10*I48,IF(F48='BMP Types'!$A$24,10*I48,IF(F48='BMP Types'!$A$25,20*I48,IF(F48='BMP Types'!$A$26,30*I48,IF(F48='BMP Types'!$A$27,40*I48,MIN(IF(F48='BMP Types'!$A$4,0.04*G48,IF(F48='BMP Types'!$A$5,0.02*G48,IF(F48='BMP Types'!$A$6,0.06*G48,IF(F48='BMP Types'!$A$7,0.04*G48,IF(F48='BMP Types'!$A$8,0.05*M48,IF(F48='BMP Types'!$A$10,0.05*M48+H48,VLOOKUP(F48,'BMP Types'!$C$2:$D$15,2,FALSE)*S48)))))),R48))))))))</f>
        <v/>
      </c>
      <c r="U48" s="71" t="str">
        <f t="shared" si="11"/>
        <v/>
      </c>
      <c r="V48" s="75" t="str">
        <f t="shared" si="12"/>
        <v/>
      </c>
      <c r="W48" s="71" t="str">
        <f t="shared" si="13"/>
        <v/>
      </c>
      <c r="X48" s="182"/>
      <c r="Y48" s="92" t="str">
        <f t="shared" si="14"/>
        <v/>
      </c>
    </row>
    <row r="49" spans="2:25" x14ac:dyDescent="0.3">
      <c r="B49" s="48" t="str">
        <f t="shared" si="7"/>
        <v/>
      </c>
      <c r="C49" s="172"/>
      <c r="D49" s="172"/>
      <c r="E49" s="173"/>
      <c r="F49" s="168"/>
      <c r="G49" s="191"/>
      <c r="H49" s="191"/>
      <c r="I49" s="174"/>
      <c r="J49" s="175"/>
      <c r="K49" s="176"/>
      <c r="L49" s="176"/>
      <c r="M49" s="176"/>
      <c r="N49" s="176"/>
      <c r="O49" s="70" t="str">
        <f>IF(B49="","",IF(AND(OR('1. Site Drainage Areas'!$D$4="Tidal MS4",'1. Site Drainage Areas'!$D$4="Non-tidal MS4"),VLOOKUP(C49,'1. Site Drainage Areas'!$D$5:$E$21,2,FALSE)="No"),'Site Data'!$N$19/12*0.95*N49*0.5,"N/A"))</f>
        <v/>
      </c>
      <c r="P49" s="70" t="str">
        <f t="shared" si="8"/>
        <v/>
      </c>
      <c r="Q49" s="71" t="str">
        <f t="shared" si="9"/>
        <v/>
      </c>
      <c r="R49" s="71" t="str">
        <f t="shared" si="10"/>
        <v/>
      </c>
      <c r="S49" s="176"/>
      <c r="T49" s="222" t="str">
        <f>IF(F49="","",IF(F49='BMP Types'!$A$22,5*I49,IF(F49='BMP Types'!$A$23,10*I49,IF(F49='BMP Types'!$A$24,10*I49,IF(F49='BMP Types'!$A$25,20*I49,IF(F49='BMP Types'!$A$26,30*I49,IF(F49='BMP Types'!$A$27,40*I49,MIN(IF(F49='BMP Types'!$A$4,0.04*G49,IF(F49='BMP Types'!$A$5,0.02*G49,IF(F49='BMP Types'!$A$6,0.06*G49,IF(F49='BMP Types'!$A$7,0.04*G49,IF(F49='BMP Types'!$A$8,0.05*M49,IF(F49='BMP Types'!$A$10,0.05*M49+H49,VLOOKUP(F49,'BMP Types'!$C$2:$D$15,2,FALSE)*S49)))))),R49))))))))</f>
        <v/>
      </c>
      <c r="U49" s="71" t="str">
        <f t="shared" si="11"/>
        <v/>
      </c>
      <c r="V49" s="75" t="str">
        <f t="shared" si="12"/>
        <v/>
      </c>
      <c r="W49" s="71" t="str">
        <f t="shared" si="13"/>
        <v/>
      </c>
      <c r="X49" s="182"/>
      <c r="Y49" s="92" t="str">
        <f t="shared" si="14"/>
        <v/>
      </c>
    </row>
    <row r="50" spans="2:25" x14ac:dyDescent="0.3">
      <c r="B50" s="48" t="str">
        <f t="shared" si="7"/>
        <v/>
      </c>
      <c r="C50" s="172"/>
      <c r="D50" s="172"/>
      <c r="E50" s="173"/>
      <c r="F50" s="168"/>
      <c r="G50" s="191"/>
      <c r="H50" s="191"/>
      <c r="I50" s="174"/>
      <c r="J50" s="175"/>
      <c r="K50" s="176"/>
      <c r="L50" s="176"/>
      <c r="M50" s="176"/>
      <c r="N50" s="176"/>
      <c r="O50" s="70" t="str">
        <f>IF(B50="","",IF(AND(OR('1. Site Drainage Areas'!$D$4="Tidal MS4",'1. Site Drainage Areas'!$D$4="Non-tidal MS4"),VLOOKUP(C50,'1. Site Drainage Areas'!$D$5:$E$21,2,FALSE)="No"),'Site Data'!$N$19/12*0.95*N50*0.5,"N/A"))</f>
        <v/>
      </c>
      <c r="P50" s="70" t="str">
        <f t="shared" si="8"/>
        <v/>
      </c>
      <c r="Q50" s="71" t="str">
        <f t="shared" si="9"/>
        <v/>
      </c>
      <c r="R50" s="71" t="str">
        <f t="shared" si="10"/>
        <v/>
      </c>
      <c r="S50" s="176"/>
      <c r="T50" s="222" t="str">
        <f>IF(F50="","",IF(F50='BMP Types'!$A$22,5*I50,IF(F50='BMP Types'!$A$23,10*I50,IF(F50='BMP Types'!$A$24,10*I50,IF(F50='BMP Types'!$A$25,20*I50,IF(F50='BMP Types'!$A$26,30*I50,IF(F50='BMP Types'!$A$27,40*I50,MIN(IF(F50='BMP Types'!$A$4,0.04*G50,IF(F50='BMP Types'!$A$5,0.02*G50,IF(F50='BMP Types'!$A$6,0.06*G50,IF(F50='BMP Types'!$A$7,0.04*G50,IF(F50='BMP Types'!$A$8,0.05*M50,IF(F50='BMP Types'!$A$10,0.05*M50+H50,VLOOKUP(F50,'BMP Types'!$C$2:$D$15,2,FALSE)*S50)))))),R50))))))))</f>
        <v/>
      </c>
      <c r="U50" s="71" t="str">
        <f t="shared" si="11"/>
        <v/>
      </c>
      <c r="V50" s="75" t="str">
        <f t="shared" si="12"/>
        <v/>
      </c>
      <c r="W50" s="71" t="str">
        <f t="shared" si="13"/>
        <v/>
      </c>
      <c r="X50" s="182"/>
      <c r="Y50" s="92" t="str">
        <f t="shared" si="14"/>
        <v/>
      </c>
    </row>
    <row r="51" spans="2:25" x14ac:dyDescent="0.3">
      <c r="B51" s="48" t="str">
        <f t="shared" si="7"/>
        <v/>
      </c>
      <c r="C51" s="172"/>
      <c r="D51" s="172"/>
      <c r="E51" s="173"/>
      <c r="F51" s="168"/>
      <c r="G51" s="191"/>
      <c r="H51" s="191"/>
      <c r="I51" s="174"/>
      <c r="J51" s="175"/>
      <c r="K51" s="176"/>
      <c r="L51" s="176"/>
      <c r="M51" s="176"/>
      <c r="N51" s="176"/>
      <c r="O51" s="70" t="str">
        <f>IF(B51="","",IF(AND(OR('1. Site Drainage Areas'!$D$4="Tidal MS4",'1. Site Drainage Areas'!$D$4="Non-tidal MS4"),VLOOKUP(C51,'1. Site Drainage Areas'!$D$5:$E$21,2,FALSE)="No"),'Site Data'!$N$19/12*0.95*N51*0.5,"N/A"))</f>
        <v/>
      </c>
      <c r="P51" s="70" t="str">
        <f t="shared" si="8"/>
        <v/>
      </c>
      <c r="Q51" s="71" t="str">
        <f t="shared" si="9"/>
        <v/>
      </c>
      <c r="R51" s="71" t="str">
        <f t="shared" si="10"/>
        <v/>
      </c>
      <c r="S51" s="176"/>
      <c r="T51" s="222" t="str">
        <f>IF(F51="","",IF(F51='BMP Types'!$A$22,5*I51,IF(F51='BMP Types'!$A$23,10*I51,IF(F51='BMP Types'!$A$24,10*I51,IF(F51='BMP Types'!$A$25,20*I51,IF(F51='BMP Types'!$A$26,30*I51,IF(F51='BMP Types'!$A$27,40*I51,MIN(IF(F51='BMP Types'!$A$4,0.04*G51,IF(F51='BMP Types'!$A$5,0.02*G51,IF(F51='BMP Types'!$A$6,0.06*G51,IF(F51='BMP Types'!$A$7,0.04*G51,IF(F51='BMP Types'!$A$8,0.05*M51,IF(F51='BMP Types'!$A$10,0.05*M51+H51,VLOOKUP(F51,'BMP Types'!$C$2:$D$15,2,FALSE)*S51)))))),R51))))))))</f>
        <v/>
      </c>
      <c r="U51" s="71" t="str">
        <f t="shared" si="11"/>
        <v/>
      </c>
      <c r="V51" s="75" t="str">
        <f t="shared" si="12"/>
        <v/>
      </c>
      <c r="W51" s="71" t="str">
        <f t="shared" si="13"/>
        <v/>
      </c>
      <c r="X51" s="182"/>
      <c r="Y51" s="92" t="str">
        <f t="shared" si="14"/>
        <v/>
      </c>
    </row>
    <row r="52" spans="2:25" x14ac:dyDescent="0.3">
      <c r="B52" s="48" t="str">
        <f t="shared" si="7"/>
        <v/>
      </c>
      <c r="C52" s="172"/>
      <c r="D52" s="172"/>
      <c r="E52" s="173"/>
      <c r="F52" s="168"/>
      <c r="G52" s="191"/>
      <c r="H52" s="191"/>
      <c r="I52" s="174"/>
      <c r="J52" s="175"/>
      <c r="K52" s="176"/>
      <c r="L52" s="176"/>
      <c r="M52" s="176"/>
      <c r="N52" s="176"/>
      <c r="O52" s="70" t="str">
        <f>IF(B52="","",IF(AND(OR('1. Site Drainage Areas'!$D$4="Tidal MS4",'1. Site Drainage Areas'!$D$4="Non-tidal MS4"),VLOOKUP(C52,'1. Site Drainage Areas'!$D$5:$E$21,2,FALSE)="No"),'Site Data'!$N$19/12*0.95*N52*0.5,"N/A"))</f>
        <v/>
      </c>
      <c r="P52" s="70" t="str">
        <f t="shared" si="8"/>
        <v/>
      </c>
      <c r="Q52" s="71" t="str">
        <f t="shared" si="9"/>
        <v/>
      </c>
      <c r="R52" s="71" t="str">
        <f t="shared" si="10"/>
        <v/>
      </c>
      <c r="S52" s="176"/>
      <c r="T52" s="222" t="str">
        <f>IF(F52="","",IF(F52='BMP Types'!$A$22,5*I52,IF(F52='BMP Types'!$A$23,10*I52,IF(F52='BMP Types'!$A$24,10*I52,IF(F52='BMP Types'!$A$25,20*I52,IF(F52='BMP Types'!$A$26,30*I52,IF(F52='BMP Types'!$A$27,40*I52,MIN(IF(F52='BMP Types'!$A$4,0.04*G52,IF(F52='BMP Types'!$A$5,0.02*G52,IF(F52='BMP Types'!$A$6,0.06*G52,IF(F52='BMP Types'!$A$7,0.04*G52,IF(F52='BMP Types'!$A$8,0.05*M52,IF(F52='BMP Types'!$A$10,0.05*M52+H52,VLOOKUP(F52,'BMP Types'!$C$2:$D$15,2,FALSE)*S52)))))),R52))))))))</f>
        <v/>
      </c>
      <c r="U52" s="71" t="str">
        <f t="shared" si="11"/>
        <v/>
      </c>
      <c r="V52" s="75" t="str">
        <f t="shared" si="12"/>
        <v/>
      </c>
      <c r="W52" s="71" t="str">
        <f t="shared" si="13"/>
        <v/>
      </c>
      <c r="X52" s="182"/>
      <c r="Y52" s="92" t="str">
        <f t="shared" si="14"/>
        <v/>
      </c>
    </row>
    <row r="53" spans="2:25" x14ac:dyDescent="0.3">
      <c r="B53" s="48" t="str">
        <f t="shared" si="7"/>
        <v/>
      </c>
      <c r="C53" s="172"/>
      <c r="D53" s="172"/>
      <c r="E53" s="173"/>
      <c r="F53" s="168"/>
      <c r="G53" s="191"/>
      <c r="H53" s="191"/>
      <c r="I53" s="174"/>
      <c r="J53" s="175"/>
      <c r="K53" s="176"/>
      <c r="L53" s="176"/>
      <c r="M53" s="176"/>
      <c r="N53" s="176"/>
      <c r="O53" s="70" t="str">
        <f>IF(B53="","",IF(AND(OR('1. Site Drainage Areas'!$D$4="Tidal MS4",'1. Site Drainage Areas'!$D$4="Non-tidal MS4"),VLOOKUP(C53,'1. Site Drainage Areas'!$D$5:$E$21,2,FALSE)="No"),'Site Data'!$N$19/12*0.95*N53*0.5,"N/A"))</f>
        <v/>
      </c>
      <c r="P53" s="70" t="str">
        <f t="shared" si="8"/>
        <v/>
      </c>
      <c r="Q53" s="71" t="str">
        <f t="shared" si="9"/>
        <v/>
      </c>
      <c r="R53" s="71" t="str">
        <f t="shared" si="10"/>
        <v/>
      </c>
      <c r="S53" s="176"/>
      <c r="T53" s="222" t="str">
        <f>IF(F53="","",IF(F53='BMP Types'!$A$22,5*I53,IF(F53='BMP Types'!$A$23,10*I53,IF(F53='BMP Types'!$A$24,10*I53,IF(F53='BMP Types'!$A$25,20*I53,IF(F53='BMP Types'!$A$26,30*I53,IF(F53='BMP Types'!$A$27,40*I53,MIN(IF(F53='BMP Types'!$A$4,0.04*G53,IF(F53='BMP Types'!$A$5,0.02*G53,IF(F53='BMP Types'!$A$6,0.06*G53,IF(F53='BMP Types'!$A$7,0.04*G53,IF(F53='BMP Types'!$A$8,0.05*M53,IF(F53='BMP Types'!$A$10,0.05*M53+H53,VLOOKUP(F53,'BMP Types'!$C$2:$D$15,2,FALSE)*S53)))))),R53))))))))</f>
        <v/>
      </c>
      <c r="U53" s="71" t="str">
        <f t="shared" si="11"/>
        <v/>
      </c>
      <c r="V53" s="75" t="str">
        <f t="shared" si="12"/>
        <v/>
      </c>
      <c r="W53" s="71" t="str">
        <f t="shared" si="13"/>
        <v/>
      </c>
      <c r="X53" s="182"/>
      <c r="Y53" s="92" t="str">
        <f t="shared" si="14"/>
        <v/>
      </c>
    </row>
    <row r="54" spans="2:25" x14ac:dyDescent="0.3">
      <c r="B54" s="48" t="str">
        <f t="shared" si="7"/>
        <v/>
      </c>
      <c r="C54" s="172"/>
      <c r="D54" s="172"/>
      <c r="E54" s="173"/>
      <c r="F54" s="168"/>
      <c r="G54" s="191"/>
      <c r="H54" s="191"/>
      <c r="I54" s="174"/>
      <c r="J54" s="175"/>
      <c r="K54" s="176"/>
      <c r="L54" s="176"/>
      <c r="M54" s="176"/>
      <c r="N54" s="176"/>
      <c r="O54" s="70" t="str">
        <f>IF(B54="","",IF(AND(OR('1. Site Drainage Areas'!$D$4="Tidal MS4",'1. Site Drainage Areas'!$D$4="Non-tidal MS4"),VLOOKUP(C54,'1. Site Drainage Areas'!$D$5:$E$21,2,FALSE)="No"),'Site Data'!$N$19/12*0.95*N54*0.5,"N/A"))</f>
        <v/>
      </c>
      <c r="P54" s="70" t="str">
        <f t="shared" si="8"/>
        <v/>
      </c>
      <c r="Q54" s="71" t="str">
        <f t="shared" si="9"/>
        <v/>
      </c>
      <c r="R54" s="71" t="str">
        <f t="shared" si="10"/>
        <v/>
      </c>
      <c r="S54" s="176"/>
      <c r="T54" s="222" t="str">
        <f>IF(F54="","",IF(F54='BMP Types'!$A$22,5*I54,IF(F54='BMP Types'!$A$23,10*I54,IF(F54='BMP Types'!$A$24,10*I54,IF(F54='BMP Types'!$A$25,20*I54,IF(F54='BMP Types'!$A$26,30*I54,IF(F54='BMP Types'!$A$27,40*I54,MIN(IF(F54='BMP Types'!$A$4,0.04*G54,IF(F54='BMP Types'!$A$5,0.02*G54,IF(F54='BMP Types'!$A$6,0.06*G54,IF(F54='BMP Types'!$A$7,0.04*G54,IF(F54='BMP Types'!$A$8,0.05*M54,IF(F54='BMP Types'!$A$10,0.05*M54+H54,VLOOKUP(F54,'BMP Types'!$C$2:$D$15,2,FALSE)*S54)))))),R54))))))))</f>
        <v/>
      </c>
      <c r="U54" s="71" t="str">
        <f t="shared" si="11"/>
        <v/>
      </c>
      <c r="V54" s="75" t="str">
        <f t="shared" si="12"/>
        <v/>
      </c>
      <c r="W54" s="71" t="str">
        <f t="shared" si="13"/>
        <v/>
      </c>
      <c r="X54" s="182"/>
      <c r="Y54" s="92" t="str">
        <f t="shared" si="14"/>
        <v/>
      </c>
    </row>
    <row r="55" spans="2:25" ht="15" thickBot="1" x14ac:dyDescent="0.35">
      <c r="B55" s="82" t="str">
        <f t="shared" si="7"/>
        <v/>
      </c>
      <c r="C55" s="177"/>
      <c r="D55" s="177"/>
      <c r="E55" s="178"/>
      <c r="F55" s="178"/>
      <c r="G55" s="192"/>
      <c r="H55" s="192"/>
      <c r="I55" s="179"/>
      <c r="J55" s="180"/>
      <c r="K55" s="181"/>
      <c r="L55" s="181"/>
      <c r="M55" s="181"/>
      <c r="N55" s="181"/>
      <c r="O55" s="70" t="str">
        <f>IF(B55="","",IF(AND(OR('1. Site Drainage Areas'!$D$4="Tidal MS4",'1. Site Drainage Areas'!$D$4="Non-tidal MS4"),VLOOKUP(C55,'1. Site Drainage Areas'!$D$5:$E$21,2,FALSE)="No"),'Site Data'!$N$19/12*0.95*N55*0.5,"N/A"))</f>
        <v/>
      </c>
      <c r="P55" s="70" t="str">
        <f t="shared" si="8"/>
        <v/>
      </c>
      <c r="Q55" s="71" t="str">
        <f t="shared" si="9"/>
        <v/>
      </c>
      <c r="R55" s="71" t="str">
        <f t="shared" si="10"/>
        <v/>
      </c>
      <c r="S55" s="181"/>
      <c r="T55" s="222" t="str">
        <f>IF(F55="","",IF(F55='BMP Types'!$A$22,5*I55,IF(F55='BMP Types'!$A$23,10*I55,IF(F55='BMP Types'!$A$24,10*I55,IF(F55='BMP Types'!$A$25,20*I55,IF(F55='BMP Types'!$A$26,30*I55,IF(F55='BMP Types'!$A$27,40*I55,MIN(IF(F55='BMP Types'!$A$4,0.04*G55,IF(F55='BMP Types'!$A$5,0.02*G55,IF(F55='BMP Types'!$A$6,0.06*G55,IF(F55='BMP Types'!$A$7,0.04*G55,IF(F55='BMP Types'!$A$8,0.05*M55,IF(F55='BMP Types'!$A$10,0.05*M55+H55,VLOOKUP(F55,'BMP Types'!$C$2:$D$15,2,FALSE)*S55)))))),R55))))))))</f>
        <v/>
      </c>
      <c r="U55" s="71" t="str">
        <f t="shared" si="11"/>
        <v/>
      </c>
      <c r="V55" s="75" t="str">
        <f t="shared" si="12"/>
        <v/>
      </c>
      <c r="W55" s="71" t="str">
        <f t="shared" si="13"/>
        <v/>
      </c>
      <c r="X55" s="183"/>
      <c r="Y55" s="92" t="str">
        <f t="shared" si="14"/>
        <v/>
      </c>
    </row>
  </sheetData>
  <sheetProtection algorithmName="SHA-512" hashValue="avL7fOZQtqDWmNBRy1b1fG8cDjsgtw+y97cJXJ0MrO+wkUCidJ+JevKNijYM/FBzxjAizDGqpgL361SmSW9etg==" saltValue="s6lV9SPVBpjXm6YQJdWK9g==" spinCount="100000" sheet="1" objects="1" scenarios="1"/>
  <mergeCells count="14">
    <mergeCell ref="I5:I6"/>
    <mergeCell ref="N5:N6"/>
    <mergeCell ref="J3:O3"/>
    <mergeCell ref="B5:B6"/>
    <mergeCell ref="C5:C6"/>
    <mergeCell ref="D5:D6"/>
    <mergeCell ref="F5:F6"/>
    <mergeCell ref="E5:E6"/>
    <mergeCell ref="G5:G6"/>
    <mergeCell ref="J5:J6"/>
    <mergeCell ref="K5:K6"/>
    <mergeCell ref="L5:L6"/>
    <mergeCell ref="M5:M6"/>
    <mergeCell ref="H5:H6"/>
  </mergeCells>
  <dataValidations count="4">
    <dataValidation type="list" allowBlank="1" showInputMessage="1" showErrorMessage="1" sqref="X7:X55" xr:uid="{8C2B434E-D785-49D9-9119-87B62B39CC22}">
      <formula1>$B$7:$B$55</formula1>
    </dataValidation>
    <dataValidation type="whole" showInputMessage="1" showErrorMessage="1" sqref="I7:I55" xr:uid="{24969C73-160E-4AE0-8795-5FCE4144101E}">
      <formula1>0</formula1>
      <formula2>100000</formula2>
    </dataValidation>
    <dataValidation type="whole" allowBlank="1" showInputMessage="1" showErrorMessage="1" sqref="D7:D55" xr:uid="{21A08FDE-380A-4314-BC02-EBA46DE4340D}">
      <formula1>1</formula1>
      <formula2>100</formula2>
    </dataValidation>
    <dataValidation showInputMessage="1" showErrorMessage="1" sqref="G7:H55" xr:uid="{6C973251-688A-4CEE-B5C5-595BF8AF5AAF}"/>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Title="User Entry " prompt="Select cell. Left click on down arrow. Scroll up for option." xr:uid="{BDD56908-4E2D-4640-88F2-772DDFC2B39A}">
          <x14:formula1>
            <xm:f>'1. Site Drainage Areas'!$D$9:$D$57</xm:f>
          </x14:formula1>
          <xm:sqref>C7:C55</xm:sqref>
        </x14:dataValidation>
        <x14:dataValidation type="list" showInputMessage="1" showErrorMessage="1" xr:uid="{C92AA4E8-A7F1-42FD-A55E-B5B9AABA9598}">
          <x14:formula1>
            <xm:f>'BMP Types'!$A$2:$A$27</xm:f>
          </x14:formula1>
          <xm:sqref>F7:F55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0E7C09-BC96-4C6B-830B-C5FAA0E5F3DA}">
  <sheetPr codeName="Sheet12">
    <tabColor theme="0"/>
  </sheetPr>
  <dimension ref="B2:AM24"/>
  <sheetViews>
    <sheetView zoomScale="120" zoomScaleNormal="120" workbookViewId="0">
      <pane xSplit="2" ySplit="6" topLeftCell="T7" activePane="bottomRight" state="frozen"/>
      <selection pane="topRight" activeCell="C1" sqref="C1"/>
      <selection pane="bottomLeft" activeCell="A7" sqref="A7"/>
      <selection pane="bottomRight"/>
    </sheetView>
  </sheetViews>
  <sheetFormatPr defaultColWidth="8.88671875" defaultRowHeight="14.4" x14ac:dyDescent="0.3"/>
  <cols>
    <col min="1" max="1" width="8.88671875" style="4"/>
    <col min="2" max="2" width="16.21875" style="4" customWidth="1"/>
    <col min="3" max="3" width="18.109375" style="4" customWidth="1"/>
    <col min="4" max="4" width="20.44140625" style="4" customWidth="1"/>
    <col min="5" max="5" width="20.6640625" style="4" customWidth="1"/>
    <col min="6" max="6" width="17.6640625" style="4" customWidth="1"/>
    <col min="7" max="7" width="14.33203125" style="4" customWidth="1"/>
    <col min="8" max="8" width="16.6640625" style="4" customWidth="1"/>
    <col min="9" max="9" width="15.6640625" style="4" customWidth="1"/>
    <col min="10" max="10" width="16.88671875" style="4" customWidth="1"/>
    <col min="11" max="11" width="16" style="4" customWidth="1"/>
    <col min="12" max="12" width="16.6640625" style="4" customWidth="1"/>
    <col min="13" max="13" width="14.33203125" style="4" bestFit="1" customWidth="1"/>
    <col min="14" max="14" width="16.88671875" style="4" customWidth="1"/>
    <col min="15" max="15" width="11.6640625" style="4" bestFit="1" customWidth="1"/>
    <col min="16" max="16" width="11.5546875" style="4" bestFit="1" customWidth="1"/>
    <col min="17" max="17" width="14.33203125" style="4" customWidth="1"/>
    <col min="18" max="18" width="17" style="4" customWidth="1"/>
    <col min="19" max="19" width="14.44140625" style="4" customWidth="1"/>
    <col min="20" max="20" width="17.33203125" style="4" customWidth="1"/>
    <col min="21" max="21" width="16.33203125" style="4" customWidth="1"/>
    <col min="22" max="22" width="16.88671875" style="4" bestFit="1" customWidth="1"/>
    <col min="23" max="23" width="14.33203125" style="4" bestFit="1" customWidth="1"/>
    <col min="24" max="24" width="16.88671875" style="4" bestFit="1" customWidth="1"/>
    <col min="25" max="25" width="10.33203125" style="4" bestFit="1" customWidth="1"/>
    <col min="26" max="26" width="11.6640625" style="4" bestFit="1" customWidth="1"/>
    <col min="27" max="27" width="14.109375" style="4" customWidth="1"/>
    <col min="28" max="28" width="13.33203125" style="4" customWidth="1"/>
    <col min="29" max="30" width="12.6640625" style="4" customWidth="1"/>
    <col min="31" max="31" width="10.88671875" style="4" bestFit="1" customWidth="1"/>
    <col min="32" max="32" width="13.6640625" style="4" customWidth="1"/>
    <col min="33" max="33" width="12" style="4" customWidth="1"/>
    <col min="34" max="34" width="11.33203125" style="4" bestFit="1" customWidth="1"/>
    <col min="35" max="35" width="11.33203125" style="4" customWidth="1"/>
    <col min="36" max="36" width="10.88671875" style="4" bestFit="1" customWidth="1"/>
    <col min="37" max="37" width="10.88671875" style="4" customWidth="1"/>
    <col min="38" max="38" width="12.44140625" style="4" customWidth="1"/>
    <col min="39" max="39" width="11.33203125" style="4" bestFit="1" customWidth="1"/>
    <col min="40" max="40" width="10.88671875" style="4" bestFit="1" customWidth="1"/>
    <col min="41" max="16384" width="8.88671875" style="4"/>
  </cols>
  <sheetData>
    <row r="2" spans="2:39" ht="15" thickBot="1" x14ac:dyDescent="0.35">
      <c r="Q2" s="3"/>
    </row>
    <row r="3" spans="2:39" s="5" customFormat="1" ht="15" thickBot="1" x14ac:dyDescent="0.35">
      <c r="B3" s="405" t="s">
        <v>145</v>
      </c>
      <c r="C3" s="404" t="s">
        <v>238</v>
      </c>
      <c r="D3" s="404"/>
      <c r="E3" s="404"/>
      <c r="F3" s="411" t="s">
        <v>146</v>
      </c>
      <c r="G3" s="412"/>
      <c r="H3" s="412"/>
      <c r="I3" s="412"/>
      <c r="J3" s="412"/>
      <c r="K3" s="412"/>
      <c r="L3" s="412"/>
      <c r="M3" s="412"/>
      <c r="N3" s="412"/>
      <c r="O3" s="413"/>
      <c r="P3" s="414" t="s">
        <v>147</v>
      </c>
      <c r="Q3" s="415"/>
      <c r="R3" s="415"/>
      <c r="S3" s="415"/>
      <c r="T3" s="415"/>
      <c r="U3" s="415"/>
      <c r="V3" s="415"/>
      <c r="W3" s="415"/>
      <c r="X3" s="415"/>
      <c r="Y3" s="416"/>
      <c r="Z3" s="420" t="s">
        <v>148</v>
      </c>
      <c r="AA3" s="421"/>
      <c r="AB3" s="421"/>
      <c r="AC3" s="421"/>
      <c r="AD3" s="422"/>
      <c r="AE3" s="420" t="s">
        <v>149</v>
      </c>
      <c r="AF3" s="421"/>
      <c r="AG3" s="421"/>
      <c r="AH3" s="421"/>
      <c r="AI3" s="422"/>
      <c r="AJ3" s="408" t="s">
        <v>150</v>
      </c>
      <c r="AK3" s="409"/>
      <c r="AL3" s="409"/>
      <c r="AM3" s="410"/>
    </row>
    <row r="4" spans="2:39" s="46" customFormat="1" ht="28.8" x14ac:dyDescent="0.3">
      <c r="B4" s="406"/>
      <c r="C4" s="144" t="s">
        <v>151</v>
      </c>
      <c r="D4" s="29" t="s">
        <v>237</v>
      </c>
      <c r="E4" s="27" t="s">
        <v>152</v>
      </c>
      <c r="F4" s="27" t="s">
        <v>82</v>
      </c>
      <c r="G4" s="27" t="s">
        <v>153</v>
      </c>
      <c r="H4" s="27" t="s">
        <v>83</v>
      </c>
      <c r="I4" s="27" t="s">
        <v>154</v>
      </c>
      <c r="J4" s="27" t="s">
        <v>84</v>
      </c>
      <c r="K4" s="27" t="s">
        <v>155</v>
      </c>
      <c r="L4" s="27" t="s">
        <v>85</v>
      </c>
      <c r="M4" s="27" t="s">
        <v>156</v>
      </c>
      <c r="N4" s="27" t="s">
        <v>157</v>
      </c>
      <c r="O4" s="27" t="s">
        <v>158</v>
      </c>
      <c r="P4" s="27" t="s">
        <v>82</v>
      </c>
      <c r="Q4" s="27" t="s">
        <v>153</v>
      </c>
      <c r="R4" s="27" t="s">
        <v>83</v>
      </c>
      <c r="S4" s="27" t="s">
        <v>154</v>
      </c>
      <c r="T4" s="27" t="s">
        <v>84</v>
      </c>
      <c r="U4" s="27" t="s">
        <v>155</v>
      </c>
      <c r="V4" s="27" t="s">
        <v>85</v>
      </c>
      <c r="W4" s="27" t="s">
        <v>156</v>
      </c>
      <c r="X4" s="27" t="s">
        <v>157</v>
      </c>
      <c r="Y4" s="27" t="s">
        <v>158</v>
      </c>
      <c r="Z4" s="27" t="s">
        <v>159</v>
      </c>
      <c r="AA4" s="27" t="s">
        <v>160</v>
      </c>
      <c r="AB4" s="27" t="s">
        <v>161</v>
      </c>
      <c r="AC4" s="27" t="s">
        <v>162</v>
      </c>
      <c r="AD4" s="417" t="s">
        <v>264</v>
      </c>
      <c r="AE4" s="27" t="s">
        <v>159</v>
      </c>
      <c r="AF4" s="27" t="s">
        <v>160</v>
      </c>
      <c r="AG4" s="27" t="s">
        <v>161</v>
      </c>
      <c r="AH4" s="27" t="s">
        <v>162</v>
      </c>
      <c r="AI4" s="417" t="s">
        <v>264</v>
      </c>
      <c r="AJ4" s="27" t="s">
        <v>159</v>
      </c>
      <c r="AK4" s="27" t="s">
        <v>160</v>
      </c>
      <c r="AL4" s="27" t="s">
        <v>161</v>
      </c>
      <c r="AM4" s="28" t="s">
        <v>162</v>
      </c>
    </row>
    <row r="5" spans="2:39" s="5" customFormat="1" ht="15" thickBot="1" x14ac:dyDescent="0.35">
      <c r="B5" s="406"/>
      <c r="C5" s="124"/>
      <c r="D5" s="124" t="s">
        <v>86</v>
      </c>
      <c r="E5" s="125" t="s">
        <v>55</v>
      </c>
      <c r="F5" s="125" t="s">
        <v>86</v>
      </c>
      <c r="G5" s="125" t="s">
        <v>163</v>
      </c>
      <c r="H5" s="125" t="s">
        <v>86</v>
      </c>
      <c r="I5" s="125" t="s">
        <v>163</v>
      </c>
      <c r="J5" s="125" t="s">
        <v>86</v>
      </c>
      <c r="K5" s="125" t="s">
        <v>163</v>
      </c>
      <c r="L5" s="125" t="s">
        <v>86</v>
      </c>
      <c r="M5" s="125" t="s">
        <v>163</v>
      </c>
      <c r="N5" s="125" t="s">
        <v>163</v>
      </c>
      <c r="O5" s="125"/>
      <c r="P5" s="125" t="s">
        <v>86</v>
      </c>
      <c r="Q5" s="125" t="s">
        <v>163</v>
      </c>
      <c r="R5" s="125" t="s">
        <v>86</v>
      </c>
      <c r="S5" s="125" t="s">
        <v>163</v>
      </c>
      <c r="T5" s="125" t="s">
        <v>86</v>
      </c>
      <c r="U5" s="125" t="s">
        <v>163</v>
      </c>
      <c r="V5" s="125" t="s">
        <v>86</v>
      </c>
      <c r="W5" s="125" t="s">
        <v>163</v>
      </c>
      <c r="X5" s="125" t="s">
        <v>163</v>
      </c>
      <c r="Y5" s="125"/>
      <c r="Z5" s="125" t="s">
        <v>95</v>
      </c>
      <c r="AA5" s="125" t="s">
        <v>95</v>
      </c>
      <c r="AB5" s="125" t="s">
        <v>95</v>
      </c>
      <c r="AC5" s="125" t="s">
        <v>163</v>
      </c>
      <c r="AD5" s="418"/>
      <c r="AE5" s="125" t="s">
        <v>95</v>
      </c>
      <c r="AF5" s="125" t="s">
        <v>95</v>
      </c>
      <c r="AG5" s="125" t="s">
        <v>95</v>
      </c>
      <c r="AH5" s="125" t="s">
        <v>163</v>
      </c>
      <c r="AI5" s="418"/>
      <c r="AJ5" s="125" t="s">
        <v>95</v>
      </c>
      <c r="AK5" s="125" t="s">
        <v>95</v>
      </c>
      <c r="AL5" s="125" t="s">
        <v>95</v>
      </c>
      <c r="AM5" s="126" t="s">
        <v>163</v>
      </c>
    </row>
    <row r="6" spans="2:39" s="5" customFormat="1" ht="43.8" thickBot="1" x14ac:dyDescent="0.35">
      <c r="B6" s="407"/>
      <c r="C6" s="127" t="s">
        <v>71</v>
      </c>
      <c r="D6" s="128" t="s">
        <v>164</v>
      </c>
      <c r="E6" s="128" t="s">
        <v>164</v>
      </c>
      <c r="F6" s="128" t="s">
        <v>164</v>
      </c>
      <c r="G6" s="129" t="s">
        <v>165</v>
      </c>
      <c r="H6" s="128" t="s">
        <v>164</v>
      </c>
      <c r="I6" s="129" t="s">
        <v>165</v>
      </c>
      <c r="J6" s="128" t="s">
        <v>164</v>
      </c>
      <c r="K6" s="129" t="s">
        <v>165</v>
      </c>
      <c r="L6" s="128" t="s">
        <v>164</v>
      </c>
      <c r="M6" s="129" t="s">
        <v>165</v>
      </c>
      <c r="N6" s="128" t="s">
        <v>164</v>
      </c>
      <c r="O6" s="128" t="s">
        <v>164</v>
      </c>
      <c r="P6" s="128" t="s">
        <v>164</v>
      </c>
      <c r="Q6" s="129" t="s">
        <v>165</v>
      </c>
      <c r="R6" s="128" t="s">
        <v>164</v>
      </c>
      <c r="S6" s="129" t="s">
        <v>165</v>
      </c>
      <c r="T6" s="128" t="s">
        <v>164</v>
      </c>
      <c r="U6" s="129" t="s">
        <v>165</v>
      </c>
      <c r="V6" s="128" t="s">
        <v>164</v>
      </c>
      <c r="W6" s="129" t="s">
        <v>165</v>
      </c>
      <c r="X6" s="128" t="s">
        <v>143</v>
      </c>
      <c r="Y6" s="128" t="s">
        <v>143</v>
      </c>
      <c r="Z6" s="128" t="s">
        <v>263</v>
      </c>
      <c r="AA6" s="128" t="s">
        <v>143</v>
      </c>
      <c r="AB6" s="128" t="s">
        <v>143</v>
      </c>
      <c r="AC6" s="128" t="s">
        <v>143</v>
      </c>
      <c r="AD6" s="419"/>
      <c r="AE6" s="128" t="s">
        <v>263</v>
      </c>
      <c r="AF6" s="128" t="s">
        <v>143</v>
      </c>
      <c r="AG6" s="128" t="s">
        <v>143</v>
      </c>
      <c r="AH6" s="128" t="s">
        <v>143</v>
      </c>
      <c r="AI6" s="419"/>
      <c r="AJ6" s="128" t="s">
        <v>166</v>
      </c>
      <c r="AK6" s="128" t="s">
        <v>143</v>
      </c>
      <c r="AL6" s="128" t="s">
        <v>143</v>
      </c>
      <c r="AM6" s="130" t="s">
        <v>143</v>
      </c>
    </row>
    <row r="7" spans="2:39" x14ac:dyDescent="0.3">
      <c r="B7" s="123" t="str">
        <f>'1. Site Drainage Areas'!D8</f>
        <v>Total Site</v>
      </c>
      <c r="C7" s="145" t="str">
        <f>'1. Site Drainage Areas'!E8</f>
        <v>N/A</v>
      </c>
      <c r="D7" s="72">
        <f>SUM(D8:D24)</f>
        <v>0</v>
      </c>
      <c r="E7" s="72">
        <f t="shared" ref="E7:H7" si="0">SUM(E8:E24)</f>
        <v>0</v>
      </c>
      <c r="F7" s="72">
        <f t="shared" si="0"/>
        <v>0</v>
      </c>
      <c r="G7" s="223">
        <f>IFERROR(SUMPRODUCT(F8:F24,G8:G24)/F7,70)</f>
        <v>70</v>
      </c>
      <c r="H7" s="72">
        <f t="shared" si="0"/>
        <v>0</v>
      </c>
      <c r="I7" s="223">
        <f>IFERROR(SUMPRODUCT(H8:H24,I8:I24)/H7,74)</f>
        <v>74</v>
      </c>
      <c r="J7" s="72">
        <f>SUM(J8:J24)</f>
        <v>0</v>
      </c>
      <c r="K7" s="223">
        <v>98</v>
      </c>
      <c r="L7" s="72">
        <f>SUM(L8:L24)</f>
        <v>0</v>
      </c>
      <c r="M7" s="223">
        <v>98</v>
      </c>
      <c r="N7" s="73">
        <f>IF('1. Site Drainage Areas'!D8="","",(IF(D7&gt;0,(F7*G7+H7*I7+J7*K7+L7*M7)/D7,0)))</f>
        <v>0</v>
      </c>
      <c r="O7" s="77">
        <f>IF('1. Site Drainage Areas'!D8="","",(IF(N7&gt;0,1000/N7-10,1000)))</f>
        <v>1000</v>
      </c>
      <c r="P7" s="72">
        <f>SUM(P8:P24)</f>
        <v>0</v>
      </c>
      <c r="Q7" s="223">
        <f>IFERROR(SUMPRODUCT(P8:P24,Q8:Q24)/P7,70)</f>
        <v>70</v>
      </c>
      <c r="R7" s="72">
        <f>SUM(R8:R24)</f>
        <v>0</v>
      </c>
      <c r="S7" s="223">
        <f>IFERROR(SUMPRODUCT(R8:R24,S8:S24)/R7,74)</f>
        <v>74</v>
      </c>
      <c r="T7" s="72">
        <f>SUM(T8:T24)</f>
        <v>0</v>
      </c>
      <c r="U7" s="223">
        <v>98</v>
      </c>
      <c r="V7" s="72">
        <f>SUM(V8:V24)</f>
        <v>0</v>
      </c>
      <c r="W7" s="223">
        <v>98</v>
      </c>
      <c r="X7" s="73">
        <f>IF('1. Site Drainage Areas'!D8="","",(IF(D7&gt;0,(P7*Q7+R7*S7+T7*U7+V7*W7)/D7,0)))</f>
        <v>0</v>
      </c>
      <c r="Y7" s="77">
        <f>IF('1. Site Drainage Areas'!D8="","",(IF(X7&gt;0,1000/X7-10,1000)))</f>
        <v>1000</v>
      </c>
      <c r="Z7" s="77">
        <v>3.14</v>
      </c>
      <c r="AA7" s="74">
        <f>IF('1. Site Drainage Areas'!D8="","",(IF(Z7&gt;0.2*($Y7),(Z7-0.2*($Y7))^2/(Z7+0.8*($Y7)),0)))</f>
        <v>0</v>
      </c>
      <c r="AB7" s="74">
        <f>IF('1. Site Drainage Areas'!D8="","",(IF($D7&gt;0,AA7-$E7*12/D7,AA7)))</f>
        <v>0</v>
      </c>
      <c r="AC7" s="117">
        <f>IF('1. Site Drainage Areas'!D8="","",(IF(AB7&gt;0,VLOOKUP(AB7,'Saved Values'!L$25:$P$639,4),0)))</f>
        <v>0</v>
      </c>
      <c r="AD7" s="117" t="str">
        <f>IF('1. Site Drainage Areas'!D4="Tidal MS4","No",IF(AC7&lt;=Q7,"No","Yes"))</f>
        <v>No</v>
      </c>
      <c r="AE7" s="77">
        <v>5.23</v>
      </c>
      <c r="AF7" s="74">
        <f>IF('1. Site Drainage Areas'!D8="","",(IF(AE7&gt;0.2*($Y7),(AE7-0.2*($Y7))^2/(AE7+0.8*($Y7)),0)))</f>
        <v>0</v>
      </c>
      <c r="AG7" s="74">
        <f>IF('1. Site Drainage Areas'!D8="","",(IF($D7&gt;0,AF7-$E7*12/D7,AF7)))</f>
        <v>0</v>
      </c>
      <c r="AH7" s="117">
        <f>IF('1. Site Drainage Areas'!D8="","",(IF(AG7&gt;=0.29,VLOOKUP(AG7,'Saved Values'!M$25:$P$639,3),0)))</f>
        <v>0</v>
      </c>
      <c r="AI7" s="117" t="str">
        <f>IF(AH7&lt;=N7,"No","Yes")</f>
        <v>No</v>
      </c>
      <c r="AJ7" s="77">
        <v>8.34</v>
      </c>
      <c r="AK7" s="74">
        <f>IF('1. Site Drainage Areas'!D8="","",(IF(AJ7&gt;0.2*($Y7),(AJ7-0.2*($Y7))^2/(AJ7+0.8*($Y7)),0)))</f>
        <v>0</v>
      </c>
      <c r="AL7" s="74">
        <f>IF('1. Site Drainage Areas'!D8="","",(IF($D7&gt;0,AK7-$E7*12/D7,AK7)))</f>
        <v>0</v>
      </c>
      <c r="AM7" s="118">
        <f>IF('1. Site Drainage Areas'!D8="","",(IF(AL7&gt;=1.4,VLOOKUP(AL7,'Saved Values'!N$25:$P$639,2),0)))</f>
        <v>0</v>
      </c>
    </row>
    <row r="8" spans="2:39" x14ac:dyDescent="0.3">
      <c r="B8" s="123">
        <f>IF('1. Site Drainage Areas'!D9="","",'1. Site Drainage Areas'!D9)</f>
        <v>1</v>
      </c>
      <c r="C8" s="131" t="str">
        <f>IF('1. Site Drainage Areas'!D9="","",'1. Site Drainage Areas'!E9)</f>
        <v>No</v>
      </c>
      <c r="D8" s="72">
        <f>IF('1. Site Drainage Areas'!D9="","",(IF(C8="No",'1. Site Drainage Areas'!J9,0)))</f>
        <v>0</v>
      </c>
      <c r="E8" s="65">
        <f>IF('1. Site Drainage Areas'!D9="","",(IF(C8="No",'1. Site Drainage Areas'!AR9,0)))</f>
        <v>0</v>
      </c>
      <c r="F8" s="65">
        <f>IF('1. Site Drainage Areas'!D9="","",(IF(C8="No",SUMIF('1. Site Drainage Areas'!$D$9:$D$25,'3. Detention'!$B8,'1. Site Drainage Areas'!$F$9:$F$25),0)))</f>
        <v>0</v>
      </c>
      <c r="G8" s="184">
        <f>IF($B8="","",70)</f>
        <v>70</v>
      </c>
      <c r="H8" s="65">
        <f>IF('1. Site Drainage Areas'!D9="","",(IF(C8="No",SUMIF('1. Site Drainage Areas'!$D$9:$D$25,'3. Detention'!$B8,'1. Site Drainage Areas'!$G$9:$G$25),0)))</f>
        <v>0</v>
      </c>
      <c r="I8" s="184">
        <f>IF(B8="","",74)</f>
        <v>74</v>
      </c>
      <c r="J8" s="65">
        <f>IF('1. Site Drainage Areas'!D9="","",(IF(C8="No",SUMIF('1. Site Drainage Areas'!$D$9:$D$25,'3. Detention'!$B8,'1. Site Drainage Areas'!$H$9:$H$25),0)))</f>
        <v>0</v>
      </c>
      <c r="K8" s="223">
        <f>IF(F8="","",98)</f>
        <v>98</v>
      </c>
      <c r="L8" s="65">
        <f>IF('1. Site Drainage Areas'!D9="","",(IF(C8="No",SUMIF('1. Site Drainage Areas'!$D$9:$D$25,'3. Detention'!$B8,'1. Site Drainage Areas'!$I$9:$I$25),0)))</f>
        <v>0</v>
      </c>
      <c r="M8" s="223">
        <f>IF(B8="","",98)</f>
        <v>98</v>
      </c>
      <c r="N8" s="73">
        <f>IF('1. Site Drainage Areas'!D9="","",(IF(D8&gt;0,(F8*G8+H8*I8+J8*K8+L8*M8)/D8,0)))</f>
        <v>0</v>
      </c>
      <c r="O8" s="77">
        <f>IF('1. Site Drainage Areas'!D9="","",(IF(N8&gt;0,1000/N8-10,1000)))</f>
        <v>1000</v>
      </c>
      <c r="P8" s="65">
        <f>IF('1. Site Drainage Areas'!D9="","",(IF(C8="No",SUMIF('1. Site Drainage Areas'!$D$8:$D$25,'3. Detention'!$B8,'1. Site Drainage Areas'!$P$8:$P$25),0)))</f>
        <v>0</v>
      </c>
      <c r="Q8" s="184">
        <f>IF(B8="","",70)</f>
        <v>70</v>
      </c>
      <c r="R8" s="65">
        <f>IF('1. Site Drainage Areas'!D9="","",(IF(C8="No",SUMIF('1. Site Drainage Areas'!$D$8:$D$25,'3. Detention'!$B8,'1. Site Drainage Areas'!$Q$8:$Q$25),0)))</f>
        <v>0</v>
      </c>
      <c r="S8" s="184">
        <f>IF(B8="","",74)</f>
        <v>74</v>
      </c>
      <c r="T8" s="65">
        <f>IF('1. Site Drainage Areas'!D9="","",(IF(C8="No",SUMIF('1. Site Drainage Areas'!$D$8:$D$25,'3. Detention'!$B8,'1. Site Drainage Areas'!$R$8:$R$25),0)))</f>
        <v>0</v>
      </c>
      <c r="U8" s="223">
        <f>IF($B8="","",98)</f>
        <v>98</v>
      </c>
      <c r="V8" s="65">
        <f>IF('1. Site Drainage Areas'!D9="","",(IF(C8="No",SUMIF('1. Site Drainage Areas'!$D$8:$D$25,'3. Detention'!$B8,'1. Site Drainage Areas'!$T$8:$T$25),0)))</f>
        <v>0</v>
      </c>
      <c r="W8" s="223">
        <f t="shared" ref="W8:W24" si="1">IF($B8="","",98)</f>
        <v>98</v>
      </c>
      <c r="X8" s="73">
        <f>IF('1. Site Drainage Areas'!D9="","",(IF(D8&gt;0,(P8*Q8+R8*S8+T8*U8+V8*W8)/D8,0)))</f>
        <v>0</v>
      </c>
      <c r="Y8" s="77">
        <f>IF('1. Site Drainage Areas'!D9="","",(IF(X8&gt;0,1000/X8-10,1000)))</f>
        <v>1000</v>
      </c>
      <c r="Z8" s="77">
        <f>IF($B8="","",3.14)</f>
        <v>3.14</v>
      </c>
      <c r="AA8" s="74">
        <f>IF('1. Site Drainage Areas'!D9="","",(IF(Z8&gt;0.2*($Y8),(Z8-0.2*($Y8))^2/(Z8+0.8*($Y8)),0)))</f>
        <v>0</v>
      </c>
      <c r="AB8" s="74">
        <f>IF('1. Site Drainage Areas'!D9="","",(IF($D8&gt;0,AA8-$E8*12/D8,AA8)))</f>
        <v>0</v>
      </c>
      <c r="AC8" s="117">
        <f>IF('1. Site Drainage Areas'!D9="","",(IF(AB8&gt;0,VLOOKUP(AB8,'Saved Values'!L$25:$P$639,4),0)))</f>
        <v>0</v>
      </c>
      <c r="AD8" s="117"/>
      <c r="AE8" s="77">
        <f>IF($B8="","",5.23)</f>
        <v>5.23</v>
      </c>
      <c r="AF8" s="74">
        <f>IF('1. Site Drainage Areas'!D9="","",(IF(AE8&gt;0.2*($Y8),(AE8-0.2*($Y8))^2/(AE8+0.8*($Y8)),0)))</f>
        <v>0</v>
      </c>
      <c r="AG8" s="74">
        <f>IF('1. Site Drainage Areas'!D9="","",(IF($D8&gt;0,AF8-$E8*12/D8,AF8)))</f>
        <v>0</v>
      </c>
      <c r="AH8" s="117">
        <f>IF('1. Site Drainage Areas'!D9="","",(IF(AG8&gt;=0.29,VLOOKUP(AG8,'Saved Values'!M$25:$P$639,3),0)))</f>
        <v>0</v>
      </c>
      <c r="AI8" s="117"/>
      <c r="AJ8" s="77">
        <f>IF($B8="","",8.34)</f>
        <v>8.34</v>
      </c>
      <c r="AK8" s="74">
        <f>IF('1. Site Drainage Areas'!D9="","",(IF(AJ8&gt;0.2*($Y8),(AJ8-0.2*($Y8))^2/(AJ8+0.8*($Y8)),0)))</f>
        <v>0</v>
      </c>
      <c r="AL8" s="74">
        <f>IF('1. Site Drainage Areas'!D9="","",(IF($D8&gt;0,AK8-$E8*12/D8,AK8)))</f>
        <v>0</v>
      </c>
      <c r="AM8" s="118">
        <f>IF('1. Site Drainage Areas'!D9="","",(IF(AL8&gt;=1.4,VLOOKUP(AL8,'Saved Values'!N$25:$P$639,2),0)))</f>
        <v>0</v>
      </c>
    </row>
    <row r="9" spans="2:39" x14ac:dyDescent="0.3">
      <c r="B9" s="123" t="str">
        <f>IF('1. Site Drainage Areas'!D10="","",'1. Site Drainage Areas'!D10)</f>
        <v/>
      </c>
      <c r="C9" s="131" t="str">
        <f>IF('1. Site Drainage Areas'!D10="","",'1. Site Drainage Areas'!E10)</f>
        <v/>
      </c>
      <c r="D9" s="72" t="str">
        <f>IF('1. Site Drainage Areas'!D10="","",(IF(C9="No",'1. Site Drainage Areas'!J10,0)))</f>
        <v/>
      </c>
      <c r="E9" s="65" t="str">
        <f>IF('1. Site Drainage Areas'!D10="","",(IF(C9="No",'1. Site Drainage Areas'!AR10,0)))</f>
        <v/>
      </c>
      <c r="F9" s="65" t="str">
        <f>IF('1. Site Drainage Areas'!D10="","",(IF(C9="No",SUMIF('1. Site Drainage Areas'!$D$9:$D$25,'3. Detention'!$B9,'1. Site Drainage Areas'!$F$9:$F$25),0)))</f>
        <v/>
      </c>
      <c r="G9" s="184" t="str">
        <f t="shared" ref="G9:G24" si="2">IF($B9="","",70)</f>
        <v/>
      </c>
      <c r="H9" s="65" t="str">
        <f>IF('1. Site Drainage Areas'!D10="","",(IF(C9="No",SUMIF('1. Site Drainage Areas'!$D$9:$D$25,'3. Detention'!$B9,'1. Site Drainage Areas'!$G$9:$G$25),0)))</f>
        <v/>
      </c>
      <c r="I9" s="184" t="str">
        <f t="shared" ref="I9:I24" si="3">IF(B9="","",74)</f>
        <v/>
      </c>
      <c r="J9" s="65" t="str">
        <f>IF('1. Site Drainage Areas'!D10="","",(IF(C9="No",SUMIF('1. Site Drainage Areas'!$D$9:$D$25,'3. Detention'!$B9,'1. Site Drainage Areas'!$H$9:$H$25),0)))</f>
        <v/>
      </c>
      <c r="K9" s="223" t="str">
        <f t="shared" ref="K9:K24" si="4">IF(F9="","",98)</f>
        <v/>
      </c>
      <c r="L9" s="65" t="str">
        <f>IF('1. Site Drainage Areas'!D10="","",(IF(C9="No",SUMIF('1. Site Drainage Areas'!$D$9:$D$25,'3. Detention'!$B9,'1. Site Drainage Areas'!$I$9:$I$25),0)))</f>
        <v/>
      </c>
      <c r="M9" s="223" t="str">
        <f t="shared" ref="M9:M24" si="5">IF(B9="","",98)</f>
        <v/>
      </c>
      <c r="N9" s="73" t="str">
        <f>IF('1. Site Drainage Areas'!D10="","",(IF(D9&gt;0,(F9*G9+H9*I9+J9*K9+L9*M9)/D9,0)))</f>
        <v/>
      </c>
      <c r="O9" s="77" t="str">
        <f>IF('1. Site Drainage Areas'!D10="","",(IF(N9&gt;0,1000/N9-10,1000)))</f>
        <v/>
      </c>
      <c r="P9" s="65" t="str">
        <f>IF('1. Site Drainage Areas'!D10="","",(IF(C9="No",SUMIF('1. Site Drainage Areas'!$D$8:$D$25,'3. Detention'!$B9,'1. Site Drainage Areas'!$P$8:$P$25),0)))</f>
        <v/>
      </c>
      <c r="Q9" s="184" t="str">
        <f t="shared" ref="Q9:Q24" si="6">IF(B9="","",70)</f>
        <v/>
      </c>
      <c r="R9" s="65" t="str">
        <f>IF('1. Site Drainage Areas'!D10="","",(IF(C9="No",SUMIF('1. Site Drainage Areas'!$D$8:$D$25,'3. Detention'!$B9,'1. Site Drainage Areas'!$Q$8:$Q$25),0)))</f>
        <v/>
      </c>
      <c r="S9" s="184" t="str">
        <f t="shared" ref="S9:S24" si="7">IF(B9="","",74)</f>
        <v/>
      </c>
      <c r="T9" s="65" t="str">
        <f>IF('1. Site Drainage Areas'!D10="","",(IF(C9="No",SUMIF('1. Site Drainage Areas'!$D$8:$D$25,'3. Detention'!$B9,'1. Site Drainage Areas'!$R$8:$R$25),0)))</f>
        <v/>
      </c>
      <c r="U9" s="223" t="str">
        <f t="shared" ref="U9:U24" si="8">IF($B9="","",98)</f>
        <v/>
      </c>
      <c r="V9" s="65" t="str">
        <f>IF('1. Site Drainage Areas'!D10="","",(IF(C9="No",SUMIF('1. Site Drainage Areas'!$D$8:$D$25,'3. Detention'!$B9,'1. Site Drainage Areas'!$T$8:$T$25),0)))</f>
        <v/>
      </c>
      <c r="W9" s="223" t="str">
        <f t="shared" si="1"/>
        <v/>
      </c>
      <c r="X9" s="73" t="str">
        <f>IF('1. Site Drainage Areas'!D10="","",(IF(D9&gt;0,(P9*Q9+R9*S9+T9*U9+V9*W9)/D9,0)))</f>
        <v/>
      </c>
      <c r="Y9" s="77" t="str">
        <f>IF('1. Site Drainage Areas'!D10="","",(IF(X9&gt;0,1000/X9-10,1000)))</f>
        <v/>
      </c>
      <c r="Z9" s="77" t="str">
        <f t="shared" ref="Z9:Z24" si="9">IF($B9="","",3.14)</f>
        <v/>
      </c>
      <c r="AA9" s="74" t="str">
        <f>IF('1. Site Drainage Areas'!D10="","",(IF(Z9&gt;0.2*($Y9),(Z9-0.2*($Y9))^2/(Z9+0.8*($Y9)),0)))</f>
        <v/>
      </c>
      <c r="AB9" s="74" t="str">
        <f>IF('1. Site Drainage Areas'!D10="","",(IF($D9&gt;0,AA9-$E9*12/D9,AA9)))</f>
        <v/>
      </c>
      <c r="AC9" s="117" t="str">
        <f>IF('1. Site Drainage Areas'!D10="","",(IF(AB9&gt;0,VLOOKUP(AB9,'Saved Values'!L$25:$P$639,4),0)))</f>
        <v/>
      </c>
      <c r="AD9" s="117"/>
      <c r="AE9" s="77" t="str">
        <f t="shared" ref="AE9:AE24" si="10">IF($B9="","",5.23)</f>
        <v/>
      </c>
      <c r="AF9" s="74" t="str">
        <f>IF('1. Site Drainage Areas'!D10="","",(IF(AE9&gt;0.2*($Y9),(AE9-0.2*($Y9))^2/(AE9+0.8*($Y9)),0)))</f>
        <v/>
      </c>
      <c r="AG9" s="74" t="str">
        <f>IF('1. Site Drainage Areas'!D10="","",(IF($D9&gt;0,AF9-$E9*12/D9,AF9)))</f>
        <v/>
      </c>
      <c r="AH9" s="117" t="str">
        <f>IF('1. Site Drainage Areas'!D10="","",(IF(AG9&gt;=0.29,VLOOKUP(AG9,'Saved Values'!M$25:$P$639,3),0)))</f>
        <v/>
      </c>
      <c r="AI9" s="117"/>
      <c r="AJ9" s="77" t="str">
        <f t="shared" ref="AJ9:AJ24" si="11">IF($B9="","",8.34)</f>
        <v/>
      </c>
      <c r="AK9" s="74" t="str">
        <f>IF('1. Site Drainage Areas'!D10="","",(IF(AJ9&gt;0.2*($Y9),(AJ9-0.2*($Y9))^2/(AJ9+0.8*($Y9)),0)))</f>
        <v/>
      </c>
      <c r="AL9" s="74" t="str">
        <f>IF('1. Site Drainage Areas'!D10="","",(IF($D9&gt;0,AK9-$E9*12/D9,AK9)))</f>
        <v/>
      </c>
      <c r="AM9" s="118" t="str">
        <f>IF('1. Site Drainage Areas'!D10="","",(IF(AL9&gt;=1.4,VLOOKUP(AL9,'Saved Values'!N$25:$P$639,2),0)))</f>
        <v/>
      </c>
    </row>
    <row r="10" spans="2:39" x14ac:dyDescent="0.3">
      <c r="B10" s="123" t="str">
        <f>IF('1. Site Drainage Areas'!D11="","",'1. Site Drainage Areas'!D11)</f>
        <v/>
      </c>
      <c r="C10" s="131" t="str">
        <f>IF('1. Site Drainage Areas'!D11="","",'1. Site Drainage Areas'!E11)</f>
        <v/>
      </c>
      <c r="D10" s="72" t="str">
        <f>IF('1. Site Drainage Areas'!D11="","",(IF(C10="No",'1. Site Drainage Areas'!J11,0)))</f>
        <v/>
      </c>
      <c r="E10" s="65" t="str">
        <f>IF('1. Site Drainage Areas'!D11="","",(IF(C10="No",'1. Site Drainage Areas'!AR11,0)))</f>
        <v/>
      </c>
      <c r="F10" s="65" t="str">
        <f>IF('1. Site Drainage Areas'!D11="","",(IF(C10="No",SUMIF('1. Site Drainage Areas'!$D$9:$D$25,'3. Detention'!$B10,'1. Site Drainage Areas'!$F$9:$F$25),0)))</f>
        <v/>
      </c>
      <c r="G10" s="184" t="str">
        <f t="shared" si="2"/>
        <v/>
      </c>
      <c r="H10" s="65" t="str">
        <f>IF('1. Site Drainage Areas'!D11="","",(IF(C10="No",SUMIF('1. Site Drainage Areas'!$D$9:$D$25,'3. Detention'!$B10,'1. Site Drainage Areas'!$G$9:$G$25),0)))</f>
        <v/>
      </c>
      <c r="I10" s="184" t="str">
        <f t="shared" si="3"/>
        <v/>
      </c>
      <c r="J10" s="65" t="str">
        <f>IF('1. Site Drainage Areas'!D11="","",(IF(C10="No",SUMIF('1. Site Drainage Areas'!$D$9:$D$25,'3. Detention'!$B10,'1. Site Drainage Areas'!$H$9:$H$25),0)))</f>
        <v/>
      </c>
      <c r="K10" s="223" t="str">
        <f t="shared" si="4"/>
        <v/>
      </c>
      <c r="L10" s="65" t="str">
        <f>IF('1. Site Drainage Areas'!D11="","",(IF(C10="No",SUMIF('1. Site Drainage Areas'!$D$9:$D$25,'3. Detention'!$B10,'1. Site Drainage Areas'!$I$9:$I$25),0)))</f>
        <v/>
      </c>
      <c r="M10" s="223" t="str">
        <f t="shared" si="5"/>
        <v/>
      </c>
      <c r="N10" s="73" t="str">
        <f>IF('1. Site Drainage Areas'!D11="","",(IF(D10&gt;0,(F10*G10+H10*I10+J10*K10+L10*M10)/D10,0)))</f>
        <v/>
      </c>
      <c r="O10" s="77" t="str">
        <f>IF('1. Site Drainage Areas'!D11="","",(IF(N10&gt;0,1000/N10-10,1000)))</f>
        <v/>
      </c>
      <c r="P10" s="65" t="str">
        <f>IF('1. Site Drainage Areas'!D11="","",(IF(C10="No",SUMIF('1. Site Drainage Areas'!$D$8:$D$25,'3. Detention'!$B10,'1. Site Drainage Areas'!$P$8:$P$25),0)))</f>
        <v/>
      </c>
      <c r="Q10" s="184" t="str">
        <f t="shared" si="6"/>
        <v/>
      </c>
      <c r="R10" s="65" t="str">
        <f>IF('1. Site Drainage Areas'!D11="","",(IF(C10="No",SUMIF('1. Site Drainage Areas'!$D$8:$D$25,'3. Detention'!$B10,'1. Site Drainage Areas'!$Q$8:$Q$25),0)))</f>
        <v/>
      </c>
      <c r="S10" s="184" t="str">
        <f t="shared" si="7"/>
        <v/>
      </c>
      <c r="T10" s="65" t="str">
        <f>IF('1. Site Drainage Areas'!D11="","",(IF(C10="No",SUMIF('1. Site Drainage Areas'!$D$8:$D$25,'3. Detention'!$B10,'1. Site Drainage Areas'!$R$8:$R$25),0)))</f>
        <v/>
      </c>
      <c r="U10" s="223" t="str">
        <f t="shared" si="8"/>
        <v/>
      </c>
      <c r="V10" s="65" t="str">
        <f>IF('1. Site Drainage Areas'!D11="","",(IF(C10="No",SUMIF('1. Site Drainage Areas'!$D$8:$D$25,'3. Detention'!$B10,'1. Site Drainage Areas'!$T$8:$T$25),0)))</f>
        <v/>
      </c>
      <c r="W10" s="223" t="str">
        <f t="shared" si="1"/>
        <v/>
      </c>
      <c r="X10" s="73" t="str">
        <f>IF('1. Site Drainage Areas'!D11="","",(IF(D10&gt;0,(P10*Q10+R10*S10+T10*U10+V10*W10)/D10,0)))</f>
        <v/>
      </c>
      <c r="Y10" s="77" t="str">
        <f>IF('1. Site Drainage Areas'!D11="","",(IF(X10&gt;0,1000/X10-10,1000)))</f>
        <v/>
      </c>
      <c r="Z10" s="77" t="str">
        <f t="shared" si="9"/>
        <v/>
      </c>
      <c r="AA10" s="74" t="str">
        <f>IF('1. Site Drainage Areas'!D11="","",(IF(Z10&gt;0.2*($Y10),(Z10-0.2*($Y10))^2/(Z10+0.8*($Y10)),0)))</f>
        <v/>
      </c>
      <c r="AB10" s="74" t="str">
        <f>IF('1. Site Drainage Areas'!D11="","",(IF($D10&gt;0,AA10-$E10*12/D10,AA10)))</f>
        <v/>
      </c>
      <c r="AC10" s="117" t="str">
        <f>IF('1. Site Drainage Areas'!D11="","",(IF(AB10&gt;0,VLOOKUP(AB10,'Saved Values'!L$25:$P$639,4),0)))</f>
        <v/>
      </c>
      <c r="AD10" s="117"/>
      <c r="AE10" s="77" t="str">
        <f t="shared" si="10"/>
        <v/>
      </c>
      <c r="AF10" s="74" t="str">
        <f>IF('1. Site Drainage Areas'!D11="","",(IF(AE10&gt;0.2*($Y10),(AE10-0.2*($Y10))^2/(AE10+0.8*($Y10)),0)))</f>
        <v/>
      </c>
      <c r="AG10" s="74" t="str">
        <f>IF('1. Site Drainage Areas'!D11="","",(IF($D10&gt;0,AF10-$E10*12/D10,AF10)))</f>
        <v/>
      </c>
      <c r="AH10" s="117" t="str">
        <f>IF('1. Site Drainage Areas'!D11="","",(IF(AG10&gt;=0.29,VLOOKUP(AG10,'Saved Values'!M$25:$P$639,3),0)))</f>
        <v/>
      </c>
      <c r="AI10" s="117"/>
      <c r="AJ10" s="77" t="str">
        <f t="shared" si="11"/>
        <v/>
      </c>
      <c r="AK10" s="74" t="str">
        <f>IF('1. Site Drainage Areas'!D11="","",(IF(AJ10&gt;0.2*($Y10),(AJ10-0.2*($Y10))^2/(AJ10+0.8*($Y10)),0)))</f>
        <v/>
      </c>
      <c r="AL10" s="74" t="str">
        <f>IF('1. Site Drainage Areas'!D11="","",(IF($D10&gt;0,AK10-$E10*12/D10,AK10)))</f>
        <v/>
      </c>
      <c r="AM10" s="118" t="str">
        <f>IF('1. Site Drainage Areas'!D11="","",(IF(AL10&gt;=1.4,VLOOKUP(AL10,'Saved Values'!N$25:$P$639,2),0)))</f>
        <v/>
      </c>
    </row>
    <row r="11" spans="2:39" x14ac:dyDescent="0.3">
      <c r="B11" s="123" t="str">
        <f>IF('1. Site Drainage Areas'!D12="","",'1. Site Drainage Areas'!D12)</f>
        <v/>
      </c>
      <c r="C11" s="131" t="str">
        <f>IF('1. Site Drainage Areas'!D12="","",'1. Site Drainage Areas'!E12)</f>
        <v/>
      </c>
      <c r="D11" s="72" t="str">
        <f>IF('1. Site Drainage Areas'!D12="","",(IF(C11="No",'1. Site Drainage Areas'!J12,0)))</f>
        <v/>
      </c>
      <c r="E11" s="65" t="str">
        <f>IF('1. Site Drainage Areas'!D12="","",(IF(C11="No",'1. Site Drainage Areas'!AR12,0)))</f>
        <v/>
      </c>
      <c r="F11" s="65" t="str">
        <f>IF('1. Site Drainage Areas'!D12="","",(IF(C11="No",SUMIF('1. Site Drainage Areas'!$D$9:$D$25,'3. Detention'!$B11,'1. Site Drainage Areas'!$F$9:$F$25),0)))</f>
        <v/>
      </c>
      <c r="G11" s="184" t="str">
        <f t="shared" si="2"/>
        <v/>
      </c>
      <c r="H11" s="65" t="str">
        <f>IF('1. Site Drainage Areas'!D12="","",(IF(C11="No",SUMIF('1. Site Drainage Areas'!$D$9:$D$25,'3. Detention'!$B11,'1. Site Drainage Areas'!$G$9:$G$25),0)))</f>
        <v/>
      </c>
      <c r="I11" s="184" t="str">
        <f t="shared" si="3"/>
        <v/>
      </c>
      <c r="J11" s="65" t="str">
        <f>IF('1. Site Drainage Areas'!D12="","",(IF(C11="No",SUMIF('1. Site Drainage Areas'!$D$9:$D$25,'3. Detention'!$B11,'1. Site Drainage Areas'!$H$9:$H$25),0)))</f>
        <v/>
      </c>
      <c r="K11" s="223" t="str">
        <f t="shared" si="4"/>
        <v/>
      </c>
      <c r="L11" s="65" t="str">
        <f>IF('1. Site Drainage Areas'!D12="","",(IF(C11="No",SUMIF('1. Site Drainage Areas'!$D$9:$D$25,'3. Detention'!$B11,'1. Site Drainage Areas'!$I$9:$I$25),0)))</f>
        <v/>
      </c>
      <c r="M11" s="223" t="str">
        <f t="shared" si="5"/>
        <v/>
      </c>
      <c r="N11" s="73" t="str">
        <f>IF('1. Site Drainage Areas'!D12="","",(IF(D11&gt;0,(F11*G11+H11*I11+J11*K11+L11*M11)/D11,0)))</f>
        <v/>
      </c>
      <c r="O11" s="77" t="str">
        <f>IF('1. Site Drainage Areas'!D12="","",(IF(N11&gt;0,1000/N11-10,1000)))</f>
        <v/>
      </c>
      <c r="P11" s="65" t="str">
        <f>IF('1. Site Drainage Areas'!D12="","",(IF(C11="No",SUMIF('1. Site Drainage Areas'!$D$8:$D$25,'3. Detention'!$B11,'1. Site Drainage Areas'!$P$8:$P$25),0)))</f>
        <v/>
      </c>
      <c r="Q11" s="184" t="str">
        <f t="shared" si="6"/>
        <v/>
      </c>
      <c r="R11" s="65" t="str">
        <f>IF('1. Site Drainage Areas'!D12="","",(IF(C11="No",SUMIF('1. Site Drainage Areas'!$D$8:$D$25,'3. Detention'!$B11,'1. Site Drainage Areas'!$Q$8:$Q$25),0)))</f>
        <v/>
      </c>
      <c r="S11" s="184" t="str">
        <f t="shared" si="7"/>
        <v/>
      </c>
      <c r="T11" s="65" t="str">
        <f>IF('1. Site Drainage Areas'!D12="","",(IF(C11="No",SUMIF('1. Site Drainage Areas'!$D$8:$D$25,'3. Detention'!$B11,'1. Site Drainage Areas'!$R$8:$R$25),0)))</f>
        <v/>
      </c>
      <c r="U11" s="223" t="str">
        <f t="shared" si="8"/>
        <v/>
      </c>
      <c r="V11" s="65" t="str">
        <f>IF('1. Site Drainage Areas'!D12="","",(IF(C11="No",SUMIF('1. Site Drainage Areas'!$D$8:$D$25,'3. Detention'!$B11,'1. Site Drainage Areas'!$T$8:$T$25),0)))</f>
        <v/>
      </c>
      <c r="W11" s="223" t="str">
        <f t="shared" si="1"/>
        <v/>
      </c>
      <c r="X11" s="73" t="str">
        <f>IF('1. Site Drainage Areas'!D12="","",(IF(D11&gt;0,(P11*Q11+R11*S11+T11*U11+V11*W11)/D11,0)))</f>
        <v/>
      </c>
      <c r="Y11" s="77" t="str">
        <f>IF('1. Site Drainage Areas'!D12="","",(IF(X11&gt;0,1000/X11-10,1000)))</f>
        <v/>
      </c>
      <c r="Z11" s="77" t="str">
        <f t="shared" si="9"/>
        <v/>
      </c>
      <c r="AA11" s="74" t="str">
        <f>IF('1. Site Drainage Areas'!D12="","",(IF(Z11&gt;0.2*($Y11),(Z11-0.2*($Y11))^2/(Z11+0.8*($Y11)),0)))</f>
        <v/>
      </c>
      <c r="AB11" s="74" t="str">
        <f>IF('1. Site Drainage Areas'!D12="","",(IF($D11&gt;0,AA11-$E11*12/D11,AA11)))</f>
        <v/>
      </c>
      <c r="AC11" s="117" t="str">
        <f>IF('1. Site Drainage Areas'!D12="","",(IF(AB11&gt;0,VLOOKUP(AB11,'Saved Values'!L$25:$P$639,4),0)))</f>
        <v/>
      </c>
      <c r="AD11" s="117"/>
      <c r="AE11" s="77" t="str">
        <f t="shared" si="10"/>
        <v/>
      </c>
      <c r="AF11" s="74" t="str">
        <f>IF('1. Site Drainage Areas'!D12="","",(IF(AE11&gt;0.2*($Y11),(AE11-0.2*($Y11))^2/(AE11+0.8*($Y11)),0)))</f>
        <v/>
      </c>
      <c r="AG11" s="74" t="str">
        <f>IF('1. Site Drainage Areas'!D12="","",(IF($D11&gt;0,AF11-$E11*12/D11,AF11)))</f>
        <v/>
      </c>
      <c r="AH11" s="117" t="str">
        <f>IF('1. Site Drainage Areas'!D12="","",(IF(AG11&gt;=0.29,VLOOKUP(AG11,'Saved Values'!M$25:$P$639,3),0)))</f>
        <v/>
      </c>
      <c r="AI11" s="117"/>
      <c r="AJ11" s="77" t="str">
        <f t="shared" si="11"/>
        <v/>
      </c>
      <c r="AK11" s="74" t="str">
        <f>IF('1. Site Drainage Areas'!D12="","",(IF(AJ11&gt;0.2*($Y11),(AJ11-0.2*($Y11))^2/(AJ11+0.8*($Y11)),0)))</f>
        <v/>
      </c>
      <c r="AL11" s="74" t="str">
        <f>IF('1. Site Drainage Areas'!D12="","",(IF($D11&gt;0,AK11-$E11*12/D11,AK11)))</f>
        <v/>
      </c>
      <c r="AM11" s="118" t="str">
        <f>IF('1. Site Drainage Areas'!D12="","",(IF(AL11&gt;=1.4,VLOOKUP(AL11,'Saved Values'!N$25:$P$639,2),0)))</f>
        <v/>
      </c>
    </row>
    <row r="12" spans="2:39" x14ac:dyDescent="0.3">
      <c r="B12" s="123" t="str">
        <f>IF('1. Site Drainage Areas'!D13="","",'1. Site Drainage Areas'!D13)</f>
        <v/>
      </c>
      <c r="C12" s="131" t="str">
        <f>IF('1. Site Drainage Areas'!D13="","",'1. Site Drainage Areas'!E13)</f>
        <v/>
      </c>
      <c r="D12" s="72" t="str">
        <f>IF('1. Site Drainage Areas'!D13="","",(IF(C12="No",'1. Site Drainage Areas'!J13,0)))</f>
        <v/>
      </c>
      <c r="E12" s="65" t="str">
        <f>IF('1. Site Drainage Areas'!D13="","",(IF(C12="No",'1. Site Drainage Areas'!AR13,0)))</f>
        <v/>
      </c>
      <c r="F12" s="65" t="str">
        <f>IF('1. Site Drainage Areas'!D13="","",(IF(C12="No",SUMIF('1. Site Drainage Areas'!$D$9:$D$25,'3. Detention'!$B12,'1. Site Drainage Areas'!$F$9:$F$25),0)))</f>
        <v/>
      </c>
      <c r="G12" s="184" t="str">
        <f t="shared" si="2"/>
        <v/>
      </c>
      <c r="H12" s="65" t="str">
        <f>IF('1. Site Drainage Areas'!D13="","",(IF(C12="No",SUMIF('1. Site Drainage Areas'!$D$9:$D$25,'3. Detention'!$B12,'1. Site Drainage Areas'!$G$9:$G$25),0)))</f>
        <v/>
      </c>
      <c r="I12" s="184" t="str">
        <f t="shared" si="3"/>
        <v/>
      </c>
      <c r="J12" s="65" t="str">
        <f>IF('1. Site Drainage Areas'!D13="","",(IF(C12="No",SUMIF('1. Site Drainage Areas'!$D$9:$D$25,'3. Detention'!$B12,'1. Site Drainage Areas'!$H$9:$H$25),0)))</f>
        <v/>
      </c>
      <c r="K12" s="223" t="str">
        <f t="shared" si="4"/>
        <v/>
      </c>
      <c r="L12" s="65" t="str">
        <f>IF('1. Site Drainage Areas'!D13="","",(IF(C12="No",SUMIF('1. Site Drainage Areas'!$D$9:$D$25,'3. Detention'!$B12,'1. Site Drainage Areas'!$I$9:$I$25),0)))</f>
        <v/>
      </c>
      <c r="M12" s="223" t="str">
        <f t="shared" si="5"/>
        <v/>
      </c>
      <c r="N12" s="73" t="str">
        <f>IF('1. Site Drainage Areas'!D13="","",(IF(D12&gt;0,(F12*G12+H12*I12+J12*K12+L12*M12)/D12,0)))</f>
        <v/>
      </c>
      <c r="O12" s="77" t="str">
        <f>IF('1. Site Drainage Areas'!D13="","",(IF(N12&gt;0,1000/N12-10,1000)))</f>
        <v/>
      </c>
      <c r="P12" s="65" t="str">
        <f>IF('1. Site Drainage Areas'!D13="","",(IF(C12="No",SUMIF('1. Site Drainage Areas'!$D$8:$D$25,'3. Detention'!$B12,'1. Site Drainage Areas'!$P$8:$P$25),0)))</f>
        <v/>
      </c>
      <c r="Q12" s="184" t="str">
        <f t="shared" si="6"/>
        <v/>
      </c>
      <c r="R12" s="65" t="str">
        <f>IF('1. Site Drainage Areas'!D13="","",(IF(C12="No",SUMIF('1. Site Drainage Areas'!$D$8:$D$25,'3. Detention'!$B12,'1. Site Drainage Areas'!$Q$8:$Q$25),0)))</f>
        <v/>
      </c>
      <c r="S12" s="184" t="str">
        <f t="shared" si="7"/>
        <v/>
      </c>
      <c r="T12" s="65" t="str">
        <f>IF('1. Site Drainage Areas'!D13="","",(IF(C12="No",SUMIF('1. Site Drainage Areas'!$D$8:$D$25,'3. Detention'!$B12,'1. Site Drainage Areas'!$R$8:$R$25),0)))</f>
        <v/>
      </c>
      <c r="U12" s="223" t="str">
        <f t="shared" si="8"/>
        <v/>
      </c>
      <c r="V12" s="65" t="str">
        <f>IF('1. Site Drainage Areas'!D13="","",(IF(C12="No",SUMIF('1. Site Drainage Areas'!$D$8:$D$25,'3. Detention'!$B12,'1. Site Drainage Areas'!$T$8:$T$25),0)))</f>
        <v/>
      </c>
      <c r="W12" s="223" t="str">
        <f t="shared" si="1"/>
        <v/>
      </c>
      <c r="X12" s="73" t="str">
        <f>IF('1. Site Drainage Areas'!D13="","",(IF(D12&gt;0,(P12*Q12+R12*S12+T12*U12+V12*W12)/D12,0)))</f>
        <v/>
      </c>
      <c r="Y12" s="77" t="str">
        <f>IF('1. Site Drainage Areas'!D13="","",(IF(X12&gt;0,1000/X12-10,1000)))</f>
        <v/>
      </c>
      <c r="Z12" s="77" t="str">
        <f t="shared" si="9"/>
        <v/>
      </c>
      <c r="AA12" s="74" t="str">
        <f>IF('1. Site Drainage Areas'!D13="","",(IF(Z12&gt;0.2*($Y12),(Z12-0.2*($Y12))^2/(Z12+0.8*($Y12)),0)))</f>
        <v/>
      </c>
      <c r="AB12" s="74" t="str">
        <f>IF('1. Site Drainage Areas'!D13="","",(IF($D12&gt;0,AA12-$E12*12/D12,AA12)))</f>
        <v/>
      </c>
      <c r="AC12" s="117" t="str">
        <f>IF('1. Site Drainage Areas'!D13="","",(IF(AB12&gt;0,VLOOKUP(AB12,'Saved Values'!L$25:$P$639,4),0)))</f>
        <v/>
      </c>
      <c r="AD12" s="117"/>
      <c r="AE12" s="77" t="str">
        <f t="shared" si="10"/>
        <v/>
      </c>
      <c r="AF12" s="74" t="str">
        <f>IF('1. Site Drainage Areas'!D13="","",(IF(AE12&gt;0.2*($Y12),(AE12-0.2*($Y12))^2/(AE12+0.8*($Y12)),0)))</f>
        <v/>
      </c>
      <c r="AG12" s="74" t="str">
        <f>IF('1. Site Drainage Areas'!D13="","",(IF($D12&gt;0,AF12-$E12*12/D12,AF12)))</f>
        <v/>
      </c>
      <c r="AH12" s="117" t="str">
        <f>IF('1. Site Drainage Areas'!D13="","",(IF(AG12&gt;=0.29,VLOOKUP(AG12,'Saved Values'!M$25:$P$639,3),0)))</f>
        <v/>
      </c>
      <c r="AI12" s="117"/>
      <c r="AJ12" s="77" t="str">
        <f t="shared" si="11"/>
        <v/>
      </c>
      <c r="AK12" s="74" t="str">
        <f>IF('1. Site Drainage Areas'!D13="","",(IF(AJ12&gt;0.2*($Y12),(AJ12-0.2*($Y12))^2/(AJ12+0.8*($Y12)),0)))</f>
        <v/>
      </c>
      <c r="AL12" s="74" t="str">
        <f>IF('1. Site Drainage Areas'!D13="","",(IF($D12&gt;0,AK12-$E12*12/D12,AK12)))</f>
        <v/>
      </c>
      <c r="AM12" s="118" t="str">
        <f>IF('1. Site Drainage Areas'!D13="","",(IF(AL12&gt;=1.4,VLOOKUP(AL12,'Saved Values'!N$25:$P$639,2),0)))</f>
        <v/>
      </c>
    </row>
    <row r="13" spans="2:39" x14ac:dyDescent="0.3">
      <c r="B13" s="123" t="str">
        <f>IF('1. Site Drainage Areas'!D14="","",'1. Site Drainage Areas'!D14)</f>
        <v/>
      </c>
      <c r="C13" s="131" t="str">
        <f>IF('1. Site Drainage Areas'!D14="","",'1. Site Drainage Areas'!E14)</f>
        <v/>
      </c>
      <c r="D13" s="72" t="str">
        <f>IF('1. Site Drainage Areas'!D14="","",(IF(C13="No",'1. Site Drainage Areas'!J14,0)))</f>
        <v/>
      </c>
      <c r="E13" s="65" t="str">
        <f>IF('1. Site Drainage Areas'!D14="","",(IF(C13="No",'1. Site Drainage Areas'!AR14,0)))</f>
        <v/>
      </c>
      <c r="F13" s="65" t="str">
        <f>IF('1. Site Drainage Areas'!D14="","",(IF(C13="No",SUMIF('1. Site Drainage Areas'!$D$9:$D$25,'3. Detention'!$B13,'1. Site Drainage Areas'!$F$9:$F$25),0)))</f>
        <v/>
      </c>
      <c r="G13" s="184" t="str">
        <f t="shared" si="2"/>
        <v/>
      </c>
      <c r="H13" s="65" t="str">
        <f>IF('1. Site Drainage Areas'!D14="","",(IF(C13="No",SUMIF('1. Site Drainage Areas'!$D$9:$D$25,'3. Detention'!$B13,'1. Site Drainage Areas'!$G$9:$G$25),0)))</f>
        <v/>
      </c>
      <c r="I13" s="184" t="str">
        <f t="shared" si="3"/>
        <v/>
      </c>
      <c r="J13" s="65" t="str">
        <f>IF('1. Site Drainage Areas'!D14="","",(IF(C13="No",SUMIF('1. Site Drainage Areas'!$D$9:$D$25,'3. Detention'!$B13,'1. Site Drainage Areas'!$H$9:$H$25),0)))</f>
        <v/>
      </c>
      <c r="K13" s="223" t="str">
        <f t="shared" si="4"/>
        <v/>
      </c>
      <c r="L13" s="65" t="str">
        <f>IF('1. Site Drainage Areas'!D14="","",(IF(C13="No",SUMIF('1. Site Drainage Areas'!$D$9:$D$25,'3. Detention'!$B13,'1. Site Drainage Areas'!$I$9:$I$25),0)))</f>
        <v/>
      </c>
      <c r="M13" s="223" t="str">
        <f t="shared" si="5"/>
        <v/>
      </c>
      <c r="N13" s="73" t="str">
        <f>IF('1. Site Drainage Areas'!D14="","",(IF(D13&gt;0,(F13*G13+H13*I13+J13*K13+L13*M13)/D13,0)))</f>
        <v/>
      </c>
      <c r="O13" s="77" t="str">
        <f>IF('1. Site Drainage Areas'!D14="","",(IF(N13&gt;0,1000/N13-10,1000)))</f>
        <v/>
      </c>
      <c r="P13" s="65" t="str">
        <f>IF('1. Site Drainage Areas'!D14="","",(IF(C13="No",SUMIF('1. Site Drainage Areas'!$D$8:$D$25,'3. Detention'!$B13,'1. Site Drainage Areas'!$P$8:$P$25),0)))</f>
        <v/>
      </c>
      <c r="Q13" s="184" t="str">
        <f t="shared" si="6"/>
        <v/>
      </c>
      <c r="R13" s="65" t="str">
        <f>IF('1. Site Drainage Areas'!D14="","",(IF(C13="No",SUMIF('1. Site Drainage Areas'!$D$8:$D$25,'3. Detention'!$B13,'1. Site Drainage Areas'!$Q$8:$Q$25),0)))</f>
        <v/>
      </c>
      <c r="S13" s="184" t="str">
        <f t="shared" si="7"/>
        <v/>
      </c>
      <c r="T13" s="65" t="str">
        <f>IF('1. Site Drainage Areas'!D14="","",(IF(C13="No",SUMIF('1. Site Drainage Areas'!$D$8:$D$25,'3. Detention'!$B13,'1. Site Drainage Areas'!$R$8:$R$25),0)))</f>
        <v/>
      </c>
      <c r="U13" s="223" t="str">
        <f t="shared" si="8"/>
        <v/>
      </c>
      <c r="V13" s="65" t="str">
        <f>IF('1. Site Drainage Areas'!D14="","",(IF(C13="No",SUMIF('1. Site Drainage Areas'!$D$8:$D$25,'3. Detention'!$B13,'1. Site Drainage Areas'!$T$8:$T$25),0)))</f>
        <v/>
      </c>
      <c r="W13" s="223" t="str">
        <f t="shared" si="1"/>
        <v/>
      </c>
      <c r="X13" s="73" t="str">
        <f>IF('1. Site Drainage Areas'!D14="","",(IF(D13&gt;0,(P13*Q13+R13*S13+T13*U13+V13*W13)/D13,0)))</f>
        <v/>
      </c>
      <c r="Y13" s="77" t="str">
        <f>IF('1. Site Drainage Areas'!D14="","",(IF(X13&gt;0,1000/X13-10,1000)))</f>
        <v/>
      </c>
      <c r="Z13" s="77" t="str">
        <f t="shared" si="9"/>
        <v/>
      </c>
      <c r="AA13" s="74" t="str">
        <f>IF('1. Site Drainage Areas'!D14="","",(IF(Z13&gt;0.2*($Y13),(Z13-0.2*($Y13))^2/(Z13+0.8*($Y13)),0)))</f>
        <v/>
      </c>
      <c r="AB13" s="74" t="str">
        <f>IF('1. Site Drainage Areas'!D14="","",(IF($D13&gt;0,AA13-$E13*12/D13,AA13)))</f>
        <v/>
      </c>
      <c r="AC13" s="117" t="str">
        <f>IF('1. Site Drainage Areas'!D14="","",(IF(AB13&gt;0,VLOOKUP(AB13,'Saved Values'!L$25:$P$639,4),0)))</f>
        <v/>
      </c>
      <c r="AD13" s="117"/>
      <c r="AE13" s="77" t="str">
        <f t="shared" si="10"/>
        <v/>
      </c>
      <c r="AF13" s="74" t="str">
        <f>IF('1. Site Drainage Areas'!D14="","",(IF(AE13&gt;0.2*($Y13),(AE13-0.2*($Y13))^2/(AE13+0.8*($Y13)),0)))</f>
        <v/>
      </c>
      <c r="AG13" s="74" t="str">
        <f>IF('1. Site Drainage Areas'!D14="","",(IF($D13&gt;0,AF13-$E13*12/D13,AF13)))</f>
        <v/>
      </c>
      <c r="AH13" s="117" t="str">
        <f>IF('1. Site Drainage Areas'!D14="","",(IF(AG13&gt;=0.29,VLOOKUP(AG13,'Saved Values'!M$25:$P$639,3),0)))</f>
        <v/>
      </c>
      <c r="AI13" s="117"/>
      <c r="AJ13" s="77" t="str">
        <f t="shared" si="11"/>
        <v/>
      </c>
      <c r="AK13" s="74" t="str">
        <f>IF('1. Site Drainage Areas'!D14="","",(IF(AJ13&gt;0.2*($Y13),(AJ13-0.2*($Y13))^2/(AJ13+0.8*($Y13)),0)))</f>
        <v/>
      </c>
      <c r="AL13" s="74" t="str">
        <f>IF('1. Site Drainage Areas'!D14="","",(IF($D13&gt;0,AK13-$E13*12/D13,AK13)))</f>
        <v/>
      </c>
      <c r="AM13" s="118" t="str">
        <f>IF('1. Site Drainage Areas'!D14="","",(IF(AL13&gt;=1.4,VLOOKUP(AL13,'Saved Values'!N$25:$P$639,2),0)))</f>
        <v/>
      </c>
    </row>
    <row r="14" spans="2:39" x14ac:dyDescent="0.3">
      <c r="B14" s="123" t="str">
        <f>IF('1. Site Drainage Areas'!D15="","",'1. Site Drainage Areas'!D15)</f>
        <v/>
      </c>
      <c r="C14" s="131" t="str">
        <f>IF('1. Site Drainage Areas'!D15="","",'1. Site Drainage Areas'!E15)</f>
        <v/>
      </c>
      <c r="D14" s="72" t="str">
        <f>IF('1. Site Drainage Areas'!D15="","",(IF(C14="No",'1. Site Drainage Areas'!J15,0)))</f>
        <v/>
      </c>
      <c r="E14" s="65" t="str">
        <f>IF('1. Site Drainage Areas'!D15="","",(IF(C14="No",'1. Site Drainage Areas'!AR15,0)))</f>
        <v/>
      </c>
      <c r="F14" s="65" t="str">
        <f>IF('1. Site Drainage Areas'!D15="","",(IF(C14="No",SUMIF('1. Site Drainage Areas'!$D$9:$D$25,'3. Detention'!$B14,'1. Site Drainage Areas'!$F$9:$F$25),0)))</f>
        <v/>
      </c>
      <c r="G14" s="184" t="str">
        <f t="shared" si="2"/>
        <v/>
      </c>
      <c r="H14" s="65" t="str">
        <f>IF('1. Site Drainage Areas'!D15="","",(IF(C14="No",SUMIF('1. Site Drainage Areas'!$D$9:$D$25,'3. Detention'!$B14,'1. Site Drainage Areas'!$G$9:$G$25),0)))</f>
        <v/>
      </c>
      <c r="I14" s="184" t="str">
        <f t="shared" si="3"/>
        <v/>
      </c>
      <c r="J14" s="65" t="str">
        <f>IF('1. Site Drainage Areas'!D15="","",(IF(C14="No",SUMIF('1. Site Drainage Areas'!$D$9:$D$25,'3. Detention'!$B14,'1. Site Drainage Areas'!$H$9:$H$25),0)))</f>
        <v/>
      </c>
      <c r="K14" s="223" t="str">
        <f t="shared" si="4"/>
        <v/>
      </c>
      <c r="L14" s="65" t="str">
        <f>IF('1. Site Drainage Areas'!D15="","",(IF(C14="No",SUMIF('1. Site Drainage Areas'!$D$9:$D$25,'3. Detention'!$B14,'1. Site Drainage Areas'!$I$9:$I$25),0)))</f>
        <v/>
      </c>
      <c r="M14" s="223" t="str">
        <f t="shared" si="5"/>
        <v/>
      </c>
      <c r="N14" s="73" t="str">
        <f>IF('1. Site Drainage Areas'!D15="","",(IF(D14&gt;0,(F14*G14+H14*I14+J14*K14+L14*M14)/D14,0)))</f>
        <v/>
      </c>
      <c r="O14" s="77" t="str">
        <f>IF('1. Site Drainage Areas'!D15="","",(IF(N14&gt;0,1000/N14-10,1000)))</f>
        <v/>
      </c>
      <c r="P14" s="65" t="str">
        <f>IF('1. Site Drainage Areas'!D15="","",(IF(C14="No",SUMIF('1. Site Drainage Areas'!$D$8:$D$25,'3. Detention'!$B14,'1. Site Drainage Areas'!$P$8:$P$25),0)))</f>
        <v/>
      </c>
      <c r="Q14" s="184" t="str">
        <f t="shared" si="6"/>
        <v/>
      </c>
      <c r="R14" s="65" t="str">
        <f>IF('1. Site Drainage Areas'!D15="","",(IF(C14="No",SUMIF('1. Site Drainage Areas'!$D$8:$D$25,'3. Detention'!$B14,'1. Site Drainage Areas'!$Q$8:$Q$25),0)))</f>
        <v/>
      </c>
      <c r="S14" s="184" t="str">
        <f t="shared" si="7"/>
        <v/>
      </c>
      <c r="T14" s="65" t="str">
        <f>IF('1. Site Drainage Areas'!D15="","",(IF(C14="No",SUMIF('1. Site Drainage Areas'!$D$8:$D$25,'3. Detention'!$B14,'1. Site Drainage Areas'!$R$8:$R$25),0)))</f>
        <v/>
      </c>
      <c r="U14" s="223" t="str">
        <f t="shared" si="8"/>
        <v/>
      </c>
      <c r="V14" s="65" t="str">
        <f>IF('1. Site Drainage Areas'!D15="","",(IF(C14="No",SUMIF('1. Site Drainage Areas'!$D$8:$D$25,'3. Detention'!$B14,'1. Site Drainage Areas'!$T$8:$T$25),0)))</f>
        <v/>
      </c>
      <c r="W14" s="223" t="str">
        <f t="shared" si="1"/>
        <v/>
      </c>
      <c r="X14" s="73" t="str">
        <f>IF('1. Site Drainage Areas'!D15="","",(IF(D14&gt;0,(P14*Q14+R14*S14+T14*U14+V14*W14)/D14,0)))</f>
        <v/>
      </c>
      <c r="Y14" s="77" t="str">
        <f>IF('1. Site Drainage Areas'!D15="","",(IF(X14&gt;0,1000/X14-10,1000)))</f>
        <v/>
      </c>
      <c r="Z14" s="77" t="str">
        <f t="shared" si="9"/>
        <v/>
      </c>
      <c r="AA14" s="74" t="str">
        <f>IF('1. Site Drainage Areas'!D15="","",(IF(Z14&gt;0.2*($Y14),(Z14-0.2*($Y14))^2/(Z14+0.8*($Y14)),0)))</f>
        <v/>
      </c>
      <c r="AB14" s="74" t="str">
        <f>IF('1. Site Drainage Areas'!D15="","",(IF($D14&gt;0,AA14-$E14*12/D14,AA14)))</f>
        <v/>
      </c>
      <c r="AC14" s="117" t="str">
        <f>IF('1. Site Drainage Areas'!D15="","",(IF(AB14&gt;0,VLOOKUP(AB14,'Saved Values'!L$25:$P$639,4),0)))</f>
        <v/>
      </c>
      <c r="AD14" s="117"/>
      <c r="AE14" s="77" t="str">
        <f t="shared" si="10"/>
        <v/>
      </c>
      <c r="AF14" s="74" t="str">
        <f>IF('1. Site Drainage Areas'!D15="","",(IF(AE14&gt;0.2*($Y14),(AE14-0.2*($Y14))^2/(AE14+0.8*($Y14)),0)))</f>
        <v/>
      </c>
      <c r="AG14" s="74" t="str">
        <f>IF('1. Site Drainage Areas'!D15="","",(IF($D14&gt;0,AF14-$E14*12/D14,AF14)))</f>
        <v/>
      </c>
      <c r="AH14" s="117" t="str">
        <f>IF('1. Site Drainage Areas'!D15="","",(IF(AG14&gt;=0.29,VLOOKUP(AG14,'Saved Values'!M$25:$P$639,3),0)))</f>
        <v/>
      </c>
      <c r="AI14" s="117"/>
      <c r="AJ14" s="77" t="str">
        <f t="shared" si="11"/>
        <v/>
      </c>
      <c r="AK14" s="74" t="str">
        <f>IF('1. Site Drainage Areas'!D15="","",(IF(AJ14&gt;0.2*($Y14),(AJ14-0.2*($Y14))^2/(AJ14+0.8*($Y14)),0)))</f>
        <v/>
      </c>
      <c r="AL14" s="74" t="str">
        <f>IF('1. Site Drainage Areas'!D15="","",(IF($D14&gt;0,AK14-$E14*12/D14,AK14)))</f>
        <v/>
      </c>
      <c r="AM14" s="118" t="str">
        <f>IF('1. Site Drainage Areas'!D15="","",(IF(AL14&gt;=1.4,VLOOKUP(AL14,'Saved Values'!N$25:$P$639,2),0)))</f>
        <v/>
      </c>
    </row>
    <row r="15" spans="2:39" x14ac:dyDescent="0.3">
      <c r="B15" s="123" t="str">
        <f>IF('1. Site Drainage Areas'!D16="","",'1. Site Drainage Areas'!D16)</f>
        <v/>
      </c>
      <c r="C15" s="131" t="str">
        <f>IF('1. Site Drainage Areas'!D16="","",'1. Site Drainage Areas'!E16)</f>
        <v/>
      </c>
      <c r="D15" s="72" t="str">
        <f>IF('1. Site Drainage Areas'!D16="","",(IF(C15="No",'1. Site Drainage Areas'!J16,0)))</f>
        <v/>
      </c>
      <c r="E15" s="65" t="str">
        <f>IF('1. Site Drainage Areas'!D16="","",(IF(C15="No",'1. Site Drainage Areas'!AR16,0)))</f>
        <v/>
      </c>
      <c r="F15" s="65" t="str">
        <f>IF('1. Site Drainage Areas'!D16="","",(IF(C15="No",SUMIF('1. Site Drainage Areas'!$D$9:$D$25,'3. Detention'!$B15,'1. Site Drainage Areas'!$F$9:$F$25),0)))</f>
        <v/>
      </c>
      <c r="G15" s="184" t="str">
        <f t="shared" si="2"/>
        <v/>
      </c>
      <c r="H15" s="65" t="str">
        <f>IF('1. Site Drainage Areas'!D16="","",(IF(C15="No",SUMIF('1. Site Drainage Areas'!$D$9:$D$25,'3. Detention'!$B15,'1. Site Drainage Areas'!$G$9:$G$25),0)))</f>
        <v/>
      </c>
      <c r="I15" s="184" t="str">
        <f t="shared" si="3"/>
        <v/>
      </c>
      <c r="J15" s="65" t="str">
        <f>IF('1. Site Drainage Areas'!D16="","",(IF(C15="No",SUMIF('1. Site Drainage Areas'!$D$9:$D$25,'3. Detention'!$B15,'1. Site Drainage Areas'!$H$9:$H$25),0)))</f>
        <v/>
      </c>
      <c r="K15" s="223" t="str">
        <f t="shared" si="4"/>
        <v/>
      </c>
      <c r="L15" s="65" t="str">
        <f>IF('1. Site Drainage Areas'!D16="","",(IF(C15="No",SUMIF('1. Site Drainage Areas'!$D$9:$D$25,'3. Detention'!$B15,'1. Site Drainage Areas'!$I$9:$I$25),0)))</f>
        <v/>
      </c>
      <c r="M15" s="223" t="str">
        <f t="shared" si="5"/>
        <v/>
      </c>
      <c r="N15" s="73" t="str">
        <f>IF('1. Site Drainage Areas'!D16="","",(IF(D15&gt;0,(F15*G15+H15*I15+J15*K15+L15*M15)/D15,0)))</f>
        <v/>
      </c>
      <c r="O15" s="77" t="str">
        <f>IF('1. Site Drainage Areas'!D16="","",(IF(N15&gt;0,1000/N15-10,1000)))</f>
        <v/>
      </c>
      <c r="P15" s="65" t="str">
        <f>IF('1. Site Drainage Areas'!D16="","",(IF(C15="No",SUMIF('1. Site Drainage Areas'!$D$8:$D$25,'3. Detention'!$B15,'1. Site Drainage Areas'!$P$8:$P$25),0)))</f>
        <v/>
      </c>
      <c r="Q15" s="184" t="str">
        <f t="shared" si="6"/>
        <v/>
      </c>
      <c r="R15" s="65" t="str">
        <f>IF('1. Site Drainage Areas'!D16="","",(IF(C15="No",SUMIF('1. Site Drainage Areas'!$D$8:$D$25,'3. Detention'!$B15,'1. Site Drainage Areas'!$Q$8:$Q$25),0)))</f>
        <v/>
      </c>
      <c r="S15" s="184" t="str">
        <f t="shared" si="7"/>
        <v/>
      </c>
      <c r="T15" s="65" t="str">
        <f>IF('1. Site Drainage Areas'!D16="","",(IF(C15="No",SUMIF('1. Site Drainage Areas'!$D$8:$D$25,'3. Detention'!$B15,'1. Site Drainage Areas'!$R$8:$R$25),0)))</f>
        <v/>
      </c>
      <c r="U15" s="223" t="str">
        <f t="shared" si="8"/>
        <v/>
      </c>
      <c r="V15" s="65" t="str">
        <f>IF('1. Site Drainage Areas'!D16="","",(IF(C15="No",SUMIF('1. Site Drainage Areas'!$D$8:$D$25,'3. Detention'!$B15,'1. Site Drainage Areas'!$T$8:$T$25),0)))</f>
        <v/>
      </c>
      <c r="W15" s="223" t="str">
        <f t="shared" si="1"/>
        <v/>
      </c>
      <c r="X15" s="73" t="str">
        <f>IF('1. Site Drainage Areas'!D16="","",(IF(D15&gt;0,(P15*Q15+R15*S15+T15*U15+V15*W15)/D15,0)))</f>
        <v/>
      </c>
      <c r="Y15" s="77" t="str">
        <f>IF('1. Site Drainage Areas'!D16="","",(IF(X15&gt;0,1000/X15-10,1000)))</f>
        <v/>
      </c>
      <c r="Z15" s="77" t="str">
        <f t="shared" si="9"/>
        <v/>
      </c>
      <c r="AA15" s="74" t="str">
        <f>IF('1. Site Drainage Areas'!D16="","",(IF(Z15&gt;0.2*($Y15),(Z15-0.2*($Y15))^2/(Z15+0.8*($Y15)),0)))</f>
        <v/>
      </c>
      <c r="AB15" s="74" t="str">
        <f>IF('1. Site Drainage Areas'!D16="","",(IF($D15&gt;0,AA15-$E15*12/D15,AA15)))</f>
        <v/>
      </c>
      <c r="AC15" s="117" t="str">
        <f>IF('1. Site Drainage Areas'!D16="","",(IF(AB15&gt;0,VLOOKUP(AB15,'Saved Values'!L$25:$P$639,4),0)))</f>
        <v/>
      </c>
      <c r="AD15" s="117"/>
      <c r="AE15" s="77" t="str">
        <f t="shared" si="10"/>
        <v/>
      </c>
      <c r="AF15" s="74" t="str">
        <f>IF('1. Site Drainage Areas'!D16="","",(IF(AE15&gt;0.2*($Y15),(AE15-0.2*($Y15))^2/(AE15+0.8*($Y15)),0)))</f>
        <v/>
      </c>
      <c r="AG15" s="74" t="str">
        <f>IF('1. Site Drainage Areas'!D16="","",(IF($D15&gt;0,AF15-$E15*12/D15,AF15)))</f>
        <v/>
      </c>
      <c r="AH15" s="117" t="str">
        <f>IF('1. Site Drainage Areas'!D16="","",(IF(AG15&gt;=0.29,VLOOKUP(AG15,'Saved Values'!M$25:$P$639,3),0)))</f>
        <v/>
      </c>
      <c r="AI15" s="117"/>
      <c r="AJ15" s="77" t="str">
        <f t="shared" si="11"/>
        <v/>
      </c>
      <c r="AK15" s="74" t="str">
        <f>IF('1. Site Drainage Areas'!D16="","",(IF(AJ15&gt;0.2*($Y15),(AJ15-0.2*($Y15))^2/(AJ15+0.8*($Y15)),0)))</f>
        <v/>
      </c>
      <c r="AL15" s="74" t="str">
        <f>IF('1. Site Drainage Areas'!D16="","",(IF($D15&gt;0,AK15-$E15*12/D15,AK15)))</f>
        <v/>
      </c>
      <c r="AM15" s="118" t="str">
        <f>IF('1. Site Drainage Areas'!D16="","",(IF(AL15&gt;=1.4,VLOOKUP(AL15,'Saved Values'!N$25:$P$639,2),0)))</f>
        <v/>
      </c>
    </row>
    <row r="16" spans="2:39" x14ac:dyDescent="0.3">
      <c r="B16" s="123" t="str">
        <f>IF('1. Site Drainage Areas'!D17="","",'1. Site Drainage Areas'!D17)</f>
        <v/>
      </c>
      <c r="C16" s="131" t="str">
        <f>IF('1. Site Drainage Areas'!D17="","",'1. Site Drainage Areas'!E17)</f>
        <v/>
      </c>
      <c r="D16" s="72" t="str">
        <f>IF('1. Site Drainage Areas'!D17="","",(IF(C16="No",'1. Site Drainage Areas'!J17,0)))</f>
        <v/>
      </c>
      <c r="E16" s="65" t="str">
        <f>IF('1. Site Drainage Areas'!D17="","",(IF(C16="No",'1. Site Drainage Areas'!AR17,0)))</f>
        <v/>
      </c>
      <c r="F16" s="65" t="str">
        <f>IF('1. Site Drainage Areas'!D17="","",(IF(C16="No",SUMIF('1. Site Drainage Areas'!$D$9:$D$25,'3. Detention'!$B16,'1. Site Drainage Areas'!$F$9:$F$25),0)))</f>
        <v/>
      </c>
      <c r="G16" s="184" t="str">
        <f t="shared" si="2"/>
        <v/>
      </c>
      <c r="H16" s="65" t="str">
        <f>IF('1. Site Drainage Areas'!D17="","",(IF(C16="No",SUMIF('1. Site Drainage Areas'!$D$9:$D$25,'3. Detention'!$B16,'1. Site Drainage Areas'!$G$9:$G$25),0)))</f>
        <v/>
      </c>
      <c r="I16" s="184" t="str">
        <f t="shared" si="3"/>
        <v/>
      </c>
      <c r="J16" s="65" t="str">
        <f>IF('1. Site Drainage Areas'!D17="","",(IF(C16="No",SUMIF('1. Site Drainage Areas'!$D$9:$D$25,'3. Detention'!$B16,'1. Site Drainage Areas'!$H$9:$H$25),0)))</f>
        <v/>
      </c>
      <c r="K16" s="223" t="str">
        <f t="shared" si="4"/>
        <v/>
      </c>
      <c r="L16" s="65" t="str">
        <f>IF('1. Site Drainage Areas'!D17="","",(IF(C16="No",SUMIF('1. Site Drainage Areas'!$D$9:$D$25,'3. Detention'!$B16,'1. Site Drainage Areas'!$I$9:$I$25),0)))</f>
        <v/>
      </c>
      <c r="M16" s="223" t="str">
        <f t="shared" si="5"/>
        <v/>
      </c>
      <c r="N16" s="73" t="str">
        <f>IF('1. Site Drainage Areas'!D17="","",(IF(D16&gt;0,(F16*G16+H16*I16+J16*K16+L16*M16)/D16,0)))</f>
        <v/>
      </c>
      <c r="O16" s="77" t="str">
        <f>IF('1. Site Drainage Areas'!D17="","",(IF(N16&gt;0,1000/N16-10,1000)))</f>
        <v/>
      </c>
      <c r="P16" s="65" t="str">
        <f>IF('1. Site Drainage Areas'!D17="","",(IF(C16="No",SUMIF('1. Site Drainage Areas'!$D$8:$D$25,'3. Detention'!$B16,'1. Site Drainage Areas'!$P$8:$P$25),0)))</f>
        <v/>
      </c>
      <c r="Q16" s="184" t="str">
        <f t="shared" si="6"/>
        <v/>
      </c>
      <c r="R16" s="65" t="str">
        <f>IF('1. Site Drainage Areas'!D17="","",(IF(C16="No",SUMIF('1. Site Drainage Areas'!$D$8:$D$25,'3. Detention'!$B16,'1. Site Drainage Areas'!$Q$8:$Q$25),0)))</f>
        <v/>
      </c>
      <c r="S16" s="184" t="str">
        <f t="shared" si="7"/>
        <v/>
      </c>
      <c r="T16" s="65" t="str">
        <f>IF('1. Site Drainage Areas'!D17="","",(IF(C16="No",SUMIF('1. Site Drainage Areas'!$D$8:$D$25,'3. Detention'!$B16,'1. Site Drainage Areas'!$R$8:$R$25),0)))</f>
        <v/>
      </c>
      <c r="U16" s="223" t="str">
        <f t="shared" si="8"/>
        <v/>
      </c>
      <c r="V16" s="65" t="str">
        <f>IF('1. Site Drainage Areas'!D17="","",(IF(C16="No",SUMIF('1. Site Drainage Areas'!$D$8:$D$25,'3. Detention'!$B16,'1. Site Drainage Areas'!$T$8:$T$25),0)))</f>
        <v/>
      </c>
      <c r="W16" s="223" t="str">
        <f t="shared" si="1"/>
        <v/>
      </c>
      <c r="X16" s="73" t="str">
        <f>IF('1. Site Drainage Areas'!D17="","",(IF(D16&gt;0,(P16*Q16+R16*S16+T16*U16+V16*W16)/D16,0)))</f>
        <v/>
      </c>
      <c r="Y16" s="77" t="str">
        <f>IF('1. Site Drainage Areas'!D17="","",(IF(X16&gt;0,1000/X16-10,1000)))</f>
        <v/>
      </c>
      <c r="Z16" s="77" t="str">
        <f t="shared" si="9"/>
        <v/>
      </c>
      <c r="AA16" s="74" t="str">
        <f>IF('1. Site Drainage Areas'!D17="","",(IF(Z16&gt;0.2*($Y16),(Z16-0.2*($Y16))^2/(Z16+0.8*($Y16)),0)))</f>
        <v/>
      </c>
      <c r="AB16" s="74" t="str">
        <f>IF('1. Site Drainage Areas'!D17="","",(IF($D16&gt;0,AA16-$E16*12/D16,AA16)))</f>
        <v/>
      </c>
      <c r="AC16" s="117" t="str">
        <f>IF('1. Site Drainage Areas'!D17="","",(IF(AB16&gt;0,VLOOKUP(AB16,'Saved Values'!L$25:$P$639,4),0)))</f>
        <v/>
      </c>
      <c r="AD16" s="117"/>
      <c r="AE16" s="77" t="str">
        <f t="shared" si="10"/>
        <v/>
      </c>
      <c r="AF16" s="74" t="str">
        <f>IF('1. Site Drainage Areas'!D17="","",(IF(AE16&gt;0.2*($Y16),(AE16-0.2*($Y16))^2/(AE16+0.8*($Y16)),0)))</f>
        <v/>
      </c>
      <c r="AG16" s="74" t="str">
        <f>IF('1. Site Drainage Areas'!D17="","",(IF($D16&gt;0,AF16-$E16*12/D16,AF16)))</f>
        <v/>
      </c>
      <c r="AH16" s="117" t="str">
        <f>IF('1. Site Drainage Areas'!D17="","",(IF(AG16&gt;=0.29,VLOOKUP(AG16,'Saved Values'!M$25:$P$639,3),0)))</f>
        <v/>
      </c>
      <c r="AI16" s="117"/>
      <c r="AJ16" s="77" t="str">
        <f t="shared" si="11"/>
        <v/>
      </c>
      <c r="AK16" s="74" t="str">
        <f>IF('1. Site Drainage Areas'!D17="","",(IF(AJ16&gt;0.2*($Y16),(AJ16-0.2*($Y16))^2/(AJ16+0.8*($Y16)),0)))</f>
        <v/>
      </c>
      <c r="AL16" s="74" t="str">
        <f>IF('1. Site Drainage Areas'!D17="","",(IF($D16&gt;0,AK16-$E16*12/D16,AK16)))</f>
        <v/>
      </c>
      <c r="AM16" s="118" t="str">
        <f>IF('1. Site Drainage Areas'!D17="","",(IF(AL16&gt;=1.4,VLOOKUP(AL16,'Saved Values'!N$25:$P$639,2),0)))</f>
        <v/>
      </c>
    </row>
    <row r="17" spans="2:39" x14ac:dyDescent="0.3">
      <c r="B17" s="123" t="str">
        <f>IF('1. Site Drainage Areas'!D18="","",'1. Site Drainage Areas'!D18)</f>
        <v/>
      </c>
      <c r="C17" s="131" t="str">
        <f>IF('1. Site Drainage Areas'!D18="","",'1. Site Drainage Areas'!E18)</f>
        <v/>
      </c>
      <c r="D17" s="72" t="str">
        <f>IF('1. Site Drainage Areas'!D18="","",(IF(C17="No",'1. Site Drainage Areas'!J18,0)))</f>
        <v/>
      </c>
      <c r="E17" s="65" t="str">
        <f>IF('1. Site Drainage Areas'!D18="","",(IF(C17="No",'1. Site Drainage Areas'!AR18,0)))</f>
        <v/>
      </c>
      <c r="F17" s="65" t="str">
        <f>IF('1. Site Drainage Areas'!D18="","",(IF(C17="No",SUMIF('1. Site Drainage Areas'!$D$9:$D$25,'3. Detention'!$B17,'1. Site Drainage Areas'!$F$9:$F$25),0)))</f>
        <v/>
      </c>
      <c r="G17" s="184" t="str">
        <f t="shared" si="2"/>
        <v/>
      </c>
      <c r="H17" s="65" t="str">
        <f>IF('1. Site Drainage Areas'!D18="","",(IF(C17="No",SUMIF('1. Site Drainage Areas'!$D$9:$D$25,'3. Detention'!$B17,'1. Site Drainage Areas'!$G$9:$G$25),0)))</f>
        <v/>
      </c>
      <c r="I17" s="184" t="str">
        <f t="shared" si="3"/>
        <v/>
      </c>
      <c r="J17" s="65" t="str">
        <f>IF('1. Site Drainage Areas'!D18="","",(IF(C17="No",SUMIF('1. Site Drainage Areas'!$D$9:$D$25,'3. Detention'!$B17,'1. Site Drainage Areas'!$H$9:$H$25),0)))</f>
        <v/>
      </c>
      <c r="K17" s="223" t="str">
        <f t="shared" si="4"/>
        <v/>
      </c>
      <c r="L17" s="65" t="str">
        <f>IF('1. Site Drainage Areas'!D18="","",(IF(C17="No",SUMIF('1. Site Drainage Areas'!$D$9:$D$25,'3. Detention'!$B17,'1. Site Drainage Areas'!$I$9:$I$25),0)))</f>
        <v/>
      </c>
      <c r="M17" s="223" t="str">
        <f t="shared" si="5"/>
        <v/>
      </c>
      <c r="N17" s="73" t="str">
        <f>IF('1. Site Drainage Areas'!D18="","",(IF(D17&gt;0,(F17*G17+H17*I17+J17*K17+L17*M17)/D17,0)))</f>
        <v/>
      </c>
      <c r="O17" s="77" t="str">
        <f>IF('1. Site Drainage Areas'!D18="","",(IF(N17&gt;0,1000/N17-10,1000)))</f>
        <v/>
      </c>
      <c r="P17" s="65" t="str">
        <f>IF('1. Site Drainage Areas'!D18="","",(IF(C17="No",SUMIF('1. Site Drainage Areas'!$D$8:$D$25,'3. Detention'!$B17,'1. Site Drainage Areas'!$P$8:$P$25),0)))</f>
        <v/>
      </c>
      <c r="Q17" s="184" t="str">
        <f t="shared" si="6"/>
        <v/>
      </c>
      <c r="R17" s="65" t="str">
        <f>IF('1. Site Drainage Areas'!D18="","",(IF(C17="No",SUMIF('1. Site Drainage Areas'!$D$8:$D$25,'3. Detention'!$B17,'1. Site Drainage Areas'!$Q$8:$Q$25),0)))</f>
        <v/>
      </c>
      <c r="S17" s="184" t="str">
        <f t="shared" si="7"/>
        <v/>
      </c>
      <c r="T17" s="65" t="str">
        <f>IF('1. Site Drainage Areas'!D18="","",(IF(C17="No",SUMIF('1. Site Drainage Areas'!$D$8:$D$25,'3. Detention'!$B17,'1. Site Drainage Areas'!$R$8:$R$25),0)))</f>
        <v/>
      </c>
      <c r="U17" s="223" t="str">
        <f t="shared" si="8"/>
        <v/>
      </c>
      <c r="V17" s="65" t="str">
        <f>IF('1. Site Drainage Areas'!D18="","",(IF(C17="No",SUMIF('1. Site Drainage Areas'!$D$8:$D$25,'3. Detention'!$B17,'1. Site Drainage Areas'!$T$8:$T$25),0)))</f>
        <v/>
      </c>
      <c r="W17" s="223" t="str">
        <f t="shared" si="1"/>
        <v/>
      </c>
      <c r="X17" s="73" t="str">
        <f>IF('1. Site Drainage Areas'!D18="","",(IF(D17&gt;0,(P17*Q17+R17*S17+T17*U17+V17*W17)/D17,0)))</f>
        <v/>
      </c>
      <c r="Y17" s="77" t="str">
        <f>IF('1. Site Drainage Areas'!D18="","",(IF(X17&gt;0,1000/X17-10,1000)))</f>
        <v/>
      </c>
      <c r="Z17" s="77" t="str">
        <f t="shared" si="9"/>
        <v/>
      </c>
      <c r="AA17" s="74" t="str">
        <f>IF('1. Site Drainage Areas'!D18="","",(IF(Z17&gt;0.2*($Y17),(Z17-0.2*($Y17))^2/(Z17+0.8*($Y17)),0)))</f>
        <v/>
      </c>
      <c r="AB17" s="74" t="str">
        <f>IF('1. Site Drainage Areas'!D18="","",(IF($D17&gt;0,AA17-$E17*12/D17,AA17)))</f>
        <v/>
      </c>
      <c r="AC17" s="117" t="str">
        <f>IF('1. Site Drainage Areas'!D18="","",(IF(AB17&gt;0,VLOOKUP(AB17,'Saved Values'!L$25:$P$639,4),0)))</f>
        <v/>
      </c>
      <c r="AD17" s="117"/>
      <c r="AE17" s="77" t="str">
        <f t="shared" si="10"/>
        <v/>
      </c>
      <c r="AF17" s="74" t="str">
        <f>IF('1. Site Drainage Areas'!D18="","",(IF(AE17&gt;0.2*($Y17),(AE17-0.2*($Y17))^2/(AE17+0.8*($Y17)),0)))</f>
        <v/>
      </c>
      <c r="AG17" s="74" t="str">
        <f>IF('1. Site Drainage Areas'!D18="","",(IF($D17&gt;0,AF17-$E17*12/D17,AF17)))</f>
        <v/>
      </c>
      <c r="AH17" s="117" t="str">
        <f>IF('1. Site Drainage Areas'!D18="","",(IF(AG17&gt;=0.29,VLOOKUP(AG17,'Saved Values'!M$25:$P$639,3),0)))</f>
        <v/>
      </c>
      <c r="AI17" s="117"/>
      <c r="AJ17" s="77" t="str">
        <f t="shared" si="11"/>
        <v/>
      </c>
      <c r="AK17" s="74" t="str">
        <f>IF('1. Site Drainage Areas'!D18="","",(IF(AJ17&gt;0.2*($Y17),(AJ17-0.2*($Y17))^2/(AJ17+0.8*($Y17)),0)))</f>
        <v/>
      </c>
      <c r="AL17" s="74" t="str">
        <f>IF('1. Site Drainage Areas'!D18="","",(IF($D17&gt;0,AK17-$E17*12/D17,AK17)))</f>
        <v/>
      </c>
      <c r="AM17" s="118" t="str">
        <f>IF('1. Site Drainage Areas'!D18="","",(IF(AL17&gt;=1.4,VLOOKUP(AL17,'Saved Values'!N$25:$P$639,2),0)))</f>
        <v/>
      </c>
    </row>
    <row r="18" spans="2:39" x14ac:dyDescent="0.3">
      <c r="B18" s="123" t="str">
        <f>IF('1. Site Drainage Areas'!D19="","",'1. Site Drainage Areas'!D19)</f>
        <v/>
      </c>
      <c r="C18" s="131" t="str">
        <f>IF('1. Site Drainage Areas'!D19="","",'1. Site Drainage Areas'!E19)</f>
        <v/>
      </c>
      <c r="D18" s="72" t="str">
        <f>IF('1. Site Drainage Areas'!D19="","",(IF(C18="No",'1. Site Drainage Areas'!J19,0)))</f>
        <v/>
      </c>
      <c r="E18" s="65" t="str">
        <f>IF('1. Site Drainage Areas'!D19="","",(IF(C18="No",'1. Site Drainage Areas'!AR19,0)))</f>
        <v/>
      </c>
      <c r="F18" s="65" t="str">
        <f>IF('1. Site Drainage Areas'!D19="","",(IF(C18="No",SUMIF('1. Site Drainage Areas'!$D$9:$D$25,'3. Detention'!$B18,'1. Site Drainage Areas'!$F$9:$F$25),0)))</f>
        <v/>
      </c>
      <c r="G18" s="184" t="str">
        <f t="shared" si="2"/>
        <v/>
      </c>
      <c r="H18" s="65" t="str">
        <f>IF('1. Site Drainage Areas'!D19="","",(IF(C18="No",SUMIF('1. Site Drainage Areas'!$D$9:$D$25,'3. Detention'!$B18,'1. Site Drainage Areas'!$G$9:$G$25),0)))</f>
        <v/>
      </c>
      <c r="I18" s="184" t="str">
        <f t="shared" si="3"/>
        <v/>
      </c>
      <c r="J18" s="65" t="str">
        <f>IF('1. Site Drainage Areas'!D19="","",(IF(C18="No",SUMIF('1. Site Drainage Areas'!$D$9:$D$25,'3. Detention'!$B18,'1. Site Drainage Areas'!$H$9:$H$25),0)))</f>
        <v/>
      </c>
      <c r="K18" s="223" t="str">
        <f t="shared" si="4"/>
        <v/>
      </c>
      <c r="L18" s="65" t="str">
        <f>IF('1. Site Drainage Areas'!D19="","",(IF(C18="No",SUMIF('1. Site Drainage Areas'!$D$9:$D$25,'3. Detention'!$B18,'1. Site Drainage Areas'!$I$9:$I$25),0)))</f>
        <v/>
      </c>
      <c r="M18" s="223" t="str">
        <f t="shared" si="5"/>
        <v/>
      </c>
      <c r="N18" s="73" t="str">
        <f>IF('1. Site Drainage Areas'!D19="","",(IF(D18&gt;0,(F18*G18+H18*I18+J18*K18+L18*M18)/D18,0)))</f>
        <v/>
      </c>
      <c r="O18" s="77" t="str">
        <f>IF('1. Site Drainage Areas'!D19="","",(IF(N18&gt;0,1000/N18-10,1000)))</f>
        <v/>
      </c>
      <c r="P18" s="65" t="str">
        <f>IF('1. Site Drainage Areas'!D19="","",(IF(C18="No",SUMIF('1. Site Drainage Areas'!$D$8:$D$25,'3. Detention'!$B18,'1. Site Drainage Areas'!$P$8:$P$25),0)))</f>
        <v/>
      </c>
      <c r="Q18" s="184" t="str">
        <f t="shared" si="6"/>
        <v/>
      </c>
      <c r="R18" s="65" t="str">
        <f>IF('1. Site Drainage Areas'!D19="","",(IF(C18="No",SUMIF('1. Site Drainage Areas'!$D$8:$D$25,'3. Detention'!$B18,'1. Site Drainage Areas'!$Q$8:$Q$25),0)))</f>
        <v/>
      </c>
      <c r="S18" s="184" t="str">
        <f t="shared" si="7"/>
        <v/>
      </c>
      <c r="T18" s="65" t="str">
        <f>IF('1. Site Drainage Areas'!D19="","",(IF(C18="No",SUMIF('1. Site Drainage Areas'!$D$8:$D$25,'3. Detention'!$B18,'1. Site Drainage Areas'!$R$8:$R$25),0)))</f>
        <v/>
      </c>
      <c r="U18" s="223" t="str">
        <f t="shared" si="8"/>
        <v/>
      </c>
      <c r="V18" s="65" t="str">
        <f>IF('1. Site Drainage Areas'!D19="","",(IF(C18="No",SUMIF('1. Site Drainage Areas'!$D$8:$D$25,'3. Detention'!$B18,'1. Site Drainage Areas'!$T$8:$T$25),0)))</f>
        <v/>
      </c>
      <c r="W18" s="223" t="str">
        <f t="shared" si="1"/>
        <v/>
      </c>
      <c r="X18" s="73" t="str">
        <f>IF('1. Site Drainage Areas'!D19="","",(IF(D18&gt;0,(P18*Q18+R18*S18+T18*U18+V18*W18)/D18,0)))</f>
        <v/>
      </c>
      <c r="Y18" s="77" t="str">
        <f>IF('1. Site Drainage Areas'!D19="","",(IF(X18&gt;0,1000/X18-10,1000)))</f>
        <v/>
      </c>
      <c r="Z18" s="77" t="str">
        <f t="shared" si="9"/>
        <v/>
      </c>
      <c r="AA18" s="74" t="str">
        <f>IF('1. Site Drainage Areas'!D19="","",(IF(Z18&gt;0.2*($Y18),(Z18-0.2*($Y18))^2/(Z18+0.8*($Y18)),0)))</f>
        <v/>
      </c>
      <c r="AB18" s="74" t="str">
        <f>IF('1. Site Drainage Areas'!D19="","",(IF($D18&gt;0,AA18-$E18*12/D18,AA18)))</f>
        <v/>
      </c>
      <c r="AC18" s="117" t="str">
        <f>IF('1. Site Drainage Areas'!D19="","",(IF(AB18&gt;0,VLOOKUP(AB18,'Saved Values'!L$25:$P$639,4),0)))</f>
        <v/>
      </c>
      <c r="AD18" s="117"/>
      <c r="AE18" s="77" t="str">
        <f t="shared" si="10"/>
        <v/>
      </c>
      <c r="AF18" s="74" t="str">
        <f>IF('1. Site Drainage Areas'!D19="","",(IF(AE18&gt;0.2*($Y18),(AE18-0.2*($Y18))^2/(AE18+0.8*($Y18)),0)))</f>
        <v/>
      </c>
      <c r="AG18" s="74" t="str">
        <f>IF('1. Site Drainage Areas'!D19="","",(IF($D18&gt;0,AF18-$E18*12/D18,AF18)))</f>
        <v/>
      </c>
      <c r="AH18" s="117" t="str">
        <f>IF('1. Site Drainage Areas'!D19="","",(IF(AG18&gt;=0.29,VLOOKUP(AG18,'Saved Values'!M$25:$P$639,3),0)))</f>
        <v/>
      </c>
      <c r="AI18" s="117"/>
      <c r="AJ18" s="77" t="str">
        <f t="shared" si="11"/>
        <v/>
      </c>
      <c r="AK18" s="74" t="str">
        <f>IF('1. Site Drainage Areas'!D19="","",(IF(AJ18&gt;0.2*($Y18),(AJ18-0.2*($Y18))^2/(AJ18+0.8*($Y18)),0)))</f>
        <v/>
      </c>
      <c r="AL18" s="74" t="str">
        <f>IF('1. Site Drainage Areas'!D19="","",(IF($D18&gt;0,AK18-$E18*12/D18,AK18)))</f>
        <v/>
      </c>
      <c r="AM18" s="118" t="str">
        <f>IF('1. Site Drainage Areas'!D19="","",(IF(AL18&gt;=1.4,VLOOKUP(AL18,'Saved Values'!N$25:$P$639,2),0)))</f>
        <v/>
      </c>
    </row>
    <row r="19" spans="2:39" x14ac:dyDescent="0.3">
      <c r="B19" s="123" t="str">
        <f>IF('1. Site Drainage Areas'!D20="","",'1. Site Drainage Areas'!D20)</f>
        <v/>
      </c>
      <c r="C19" s="131" t="str">
        <f>IF('1. Site Drainage Areas'!D20="","",'1. Site Drainage Areas'!E20)</f>
        <v/>
      </c>
      <c r="D19" s="72" t="str">
        <f>IF('1. Site Drainage Areas'!D20="","",(IF(C19="No",'1. Site Drainage Areas'!J20,0)))</f>
        <v/>
      </c>
      <c r="E19" s="65" t="str">
        <f>IF('1. Site Drainage Areas'!D20="","",(IF(C19="No",'1. Site Drainage Areas'!AR20,0)))</f>
        <v/>
      </c>
      <c r="F19" s="65" t="str">
        <f>IF('1. Site Drainage Areas'!D20="","",(IF(C19="No",SUMIF('1. Site Drainage Areas'!$D$9:$D$25,'3. Detention'!$B19,'1. Site Drainage Areas'!$F$9:$F$25),0)))</f>
        <v/>
      </c>
      <c r="G19" s="184" t="str">
        <f t="shared" si="2"/>
        <v/>
      </c>
      <c r="H19" s="65" t="str">
        <f>IF('1. Site Drainage Areas'!D20="","",(IF(C19="No",SUMIF('1. Site Drainage Areas'!$D$9:$D$25,'3. Detention'!$B19,'1. Site Drainage Areas'!$G$9:$G$25),0)))</f>
        <v/>
      </c>
      <c r="I19" s="184" t="str">
        <f t="shared" si="3"/>
        <v/>
      </c>
      <c r="J19" s="65" t="str">
        <f>IF('1. Site Drainage Areas'!D20="","",(IF(C19="No",SUMIF('1. Site Drainage Areas'!$D$9:$D$25,'3. Detention'!$B19,'1. Site Drainage Areas'!$H$9:$H$25),0)))</f>
        <v/>
      </c>
      <c r="K19" s="223" t="str">
        <f t="shared" si="4"/>
        <v/>
      </c>
      <c r="L19" s="65" t="str">
        <f>IF('1. Site Drainage Areas'!D20="","",(IF(C19="No",SUMIF('1. Site Drainage Areas'!$D$9:$D$25,'3. Detention'!$B19,'1. Site Drainage Areas'!$I$9:$I$25),0)))</f>
        <v/>
      </c>
      <c r="M19" s="223" t="str">
        <f t="shared" si="5"/>
        <v/>
      </c>
      <c r="N19" s="73" t="str">
        <f>IF('1. Site Drainage Areas'!D20="","",(IF(D19&gt;0,(F19*G19+H19*I19+J19*K19+L19*M19)/D19,0)))</f>
        <v/>
      </c>
      <c r="O19" s="77" t="str">
        <f>IF('1. Site Drainage Areas'!D20="","",(IF(N19&gt;0,1000/N19-10,1000)))</f>
        <v/>
      </c>
      <c r="P19" s="65" t="str">
        <f>IF('1. Site Drainage Areas'!D20="","",(IF(C19="No",SUMIF('1. Site Drainage Areas'!$D$8:$D$25,'3. Detention'!$B19,'1. Site Drainage Areas'!$P$8:$P$25),0)))</f>
        <v/>
      </c>
      <c r="Q19" s="184" t="str">
        <f t="shared" si="6"/>
        <v/>
      </c>
      <c r="R19" s="65" t="str">
        <f>IF('1. Site Drainage Areas'!D20="","",(IF(C19="No",SUMIF('1. Site Drainage Areas'!$D$8:$D$25,'3. Detention'!$B19,'1. Site Drainage Areas'!$Q$8:$Q$25),0)))</f>
        <v/>
      </c>
      <c r="S19" s="184" t="str">
        <f t="shared" si="7"/>
        <v/>
      </c>
      <c r="T19" s="65" t="str">
        <f>IF('1. Site Drainage Areas'!D20="","",(IF(C19="No",SUMIF('1. Site Drainage Areas'!$D$8:$D$25,'3. Detention'!$B19,'1. Site Drainage Areas'!$R$8:$R$25),0)))</f>
        <v/>
      </c>
      <c r="U19" s="223" t="str">
        <f t="shared" si="8"/>
        <v/>
      </c>
      <c r="V19" s="65" t="str">
        <f>IF('1. Site Drainage Areas'!D20="","",(IF(C19="No",SUMIF('1. Site Drainage Areas'!$D$8:$D$25,'3. Detention'!$B19,'1. Site Drainage Areas'!$T$8:$T$25),0)))</f>
        <v/>
      </c>
      <c r="W19" s="223" t="str">
        <f t="shared" si="1"/>
        <v/>
      </c>
      <c r="X19" s="73" t="str">
        <f>IF('1. Site Drainage Areas'!D20="","",(IF(D19&gt;0,(P19*Q19+R19*S19+T19*U19+V19*W19)/D19,0)))</f>
        <v/>
      </c>
      <c r="Y19" s="77" t="str">
        <f>IF('1. Site Drainage Areas'!D20="","",(IF(X19&gt;0,1000/X19-10,1000)))</f>
        <v/>
      </c>
      <c r="Z19" s="77" t="str">
        <f t="shared" si="9"/>
        <v/>
      </c>
      <c r="AA19" s="74" t="str">
        <f>IF('1. Site Drainage Areas'!D20="","",(IF(Z19&gt;0.2*($Y19),(Z19-0.2*($Y19))^2/(Z19+0.8*($Y19)),0)))</f>
        <v/>
      </c>
      <c r="AB19" s="74" t="str">
        <f>IF('1. Site Drainage Areas'!D20="","",(IF($D19&gt;0,AA19-$E19*12/D19,AA19)))</f>
        <v/>
      </c>
      <c r="AC19" s="117" t="str">
        <f>IF('1. Site Drainage Areas'!D20="","",(IF(AB19&gt;0,VLOOKUP(AB19,'Saved Values'!L$25:$P$639,4),0)))</f>
        <v/>
      </c>
      <c r="AD19" s="117"/>
      <c r="AE19" s="77" t="str">
        <f t="shared" si="10"/>
        <v/>
      </c>
      <c r="AF19" s="74" t="str">
        <f>IF('1. Site Drainage Areas'!D20="","",(IF(AE19&gt;0.2*($Y19),(AE19-0.2*($Y19))^2/(AE19+0.8*($Y19)),0)))</f>
        <v/>
      </c>
      <c r="AG19" s="74" t="str">
        <f>IF('1. Site Drainage Areas'!D20="","",(IF($D19&gt;0,AF19-$E19*12/D19,AF19)))</f>
        <v/>
      </c>
      <c r="AH19" s="117" t="str">
        <f>IF('1. Site Drainage Areas'!D20="","",(IF(AG19&gt;=0.29,VLOOKUP(AG19,'Saved Values'!M$25:$P$639,3),0)))</f>
        <v/>
      </c>
      <c r="AI19" s="117"/>
      <c r="AJ19" s="77" t="str">
        <f t="shared" si="11"/>
        <v/>
      </c>
      <c r="AK19" s="74" t="str">
        <f>IF('1. Site Drainage Areas'!D20="","",(IF(AJ19&gt;0.2*($Y19),(AJ19-0.2*($Y19))^2/(AJ19+0.8*($Y19)),0)))</f>
        <v/>
      </c>
      <c r="AL19" s="74" t="str">
        <f>IF('1. Site Drainage Areas'!D20="","",(IF($D19&gt;0,AK19-$E19*12/D19,AK19)))</f>
        <v/>
      </c>
      <c r="AM19" s="118" t="str">
        <f>IF('1. Site Drainage Areas'!D20="","",(IF(AL19&gt;=1.4,VLOOKUP(AL19,'Saved Values'!N$25:$P$639,2),0)))</f>
        <v/>
      </c>
    </row>
    <row r="20" spans="2:39" x14ac:dyDescent="0.3">
      <c r="B20" s="123" t="str">
        <f>IF('1. Site Drainage Areas'!D21="","",'1. Site Drainage Areas'!D21)</f>
        <v/>
      </c>
      <c r="C20" s="131" t="str">
        <f>IF('1. Site Drainage Areas'!D21="","",'1. Site Drainage Areas'!E21)</f>
        <v/>
      </c>
      <c r="D20" s="72" t="str">
        <f>IF('1. Site Drainage Areas'!D21="","",(IF(C20="No",'1. Site Drainage Areas'!J21,0)))</f>
        <v/>
      </c>
      <c r="E20" s="65" t="str">
        <f>IF('1. Site Drainage Areas'!D21="","",(IF(C20="No",'1. Site Drainage Areas'!AR21,0)))</f>
        <v/>
      </c>
      <c r="F20" s="65" t="str">
        <f>IF('1. Site Drainage Areas'!D21="","",(IF(C20="No",SUMIF('1. Site Drainage Areas'!$D$9:$D$25,'3. Detention'!$B20,'1. Site Drainage Areas'!$F$9:$F$25),0)))</f>
        <v/>
      </c>
      <c r="G20" s="184" t="str">
        <f t="shared" si="2"/>
        <v/>
      </c>
      <c r="H20" s="65" t="str">
        <f>IF('1. Site Drainage Areas'!D21="","",(IF(C20="No",SUMIF('1. Site Drainage Areas'!$D$9:$D$25,'3. Detention'!$B20,'1. Site Drainage Areas'!$G$9:$G$25),0)))</f>
        <v/>
      </c>
      <c r="I20" s="184" t="str">
        <f t="shared" si="3"/>
        <v/>
      </c>
      <c r="J20" s="65" t="str">
        <f>IF('1. Site Drainage Areas'!D21="","",(IF(C20="No",SUMIF('1. Site Drainage Areas'!$D$9:$D$25,'3. Detention'!$B20,'1. Site Drainage Areas'!$H$9:$H$25),0)))</f>
        <v/>
      </c>
      <c r="K20" s="223" t="str">
        <f t="shared" si="4"/>
        <v/>
      </c>
      <c r="L20" s="65" t="str">
        <f>IF('1. Site Drainage Areas'!D21="","",(IF(C20="No",SUMIF('1. Site Drainage Areas'!$D$9:$D$25,'3. Detention'!$B20,'1. Site Drainage Areas'!$I$9:$I$25),0)))</f>
        <v/>
      </c>
      <c r="M20" s="223" t="str">
        <f t="shared" si="5"/>
        <v/>
      </c>
      <c r="N20" s="73" t="str">
        <f>IF('1. Site Drainage Areas'!D21="","",(IF(D20&gt;0,(F20*G20+H20*I20+J20*K20+L20*M20)/D20,0)))</f>
        <v/>
      </c>
      <c r="O20" s="77" t="str">
        <f>IF('1. Site Drainage Areas'!D21="","",(IF(N20&gt;0,1000/N20-10,1000)))</f>
        <v/>
      </c>
      <c r="P20" s="65" t="str">
        <f>IF('1. Site Drainage Areas'!D21="","",(IF(C20="No",SUMIF('1. Site Drainage Areas'!$D$8:$D$25,'3. Detention'!$B20,'1. Site Drainage Areas'!$P$8:$P$25),0)))</f>
        <v/>
      </c>
      <c r="Q20" s="184" t="str">
        <f t="shared" si="6"/>
        <v/>
      </c>
      <c r="R20" s="65" t="str">
        <f>IF('1. Site Drainage Areas'!D21="","",(IF(C20="No",SUMIF('1. Site Drainage Areas'!$D$8:$D$25,'3. Detention'!$B20,'1. Site Drainage Areas'!$Q$8:$Q$25),0)))</f>
        <v/>
      </c>
      <c r="S20" s="184" t="str">
        <f t="shared" si="7"/>
        <v/>
      </c>
      <c r="T20" s="65" t="str">
        <f>IF('1. Site Drainage Areas'!D21="","",(IF(C20="No",SUMIF('1. Site Drainage Areas'!$D$8:$D$25,'3. Detention'!$B20,'1. Site Drainage Areas'!$R$8:$R$25),0)))</f>
        <v/>
      </c>
      <c r="U20" s="223" t="str">
        <f t="shared" si="8"/>
        <v/>
      </c>
      <c r="V20" s="65" t="str">
        <f>IF('1. Site Drainage Areas'!D21="","",(IF(C20="No",SUMIF('1. Site Drainage Areas'!$D$8:$D$25,'3. Detention'!$B20,'1. Site Drainage Areas'!$T$8:$T$25),0)))</f>
        <v/>
      </c>
      <c r="W20" s="223" t="str">
        <f t="shared" si="1"/>
        <v/>
      </c>
      <c r="X20" s="73" t="str">
        <f>IF('1. Site Drainage Areas'!D21="","",(IF(D20&gt;0,(P20*Q20+R20*S20+T20*U20+V20*W20)/D20,0)))</f>
        <v/>
      </c>
      <c r="Y20" s="77" t="str">
        <f>IF('1. Site Drainage Areas'!D21="","",(IF(X20&gt;0,1000/X20-10,1000)))</f>
        <v/>
      </c>
      <c r="Z20" s="77" t="str">
        <f t="shared" si="9"/>
        <v/>
      </c>
      <c r="AA20" s="74" t="str">
        <f>IF('1. Site Drainage Areas'!D21="","",(IF(Z20&gt;0.2*($Y20),(Z20-0.2*($Y20))^2/(Z20+0.8*($Y20)),0)))</f>
        <v/>
      </c>
      <c r="AB20" s="74" t="str">
        <f>IF('1. Site Drainage Areas'!D21="","",(IF($D20&gt;0,AA20-$E20*12/D20,AA20)))</f>
        <v/>
      </c>
      <c r="AC20" s="117" t="str">
        <f>IF('1. Site Drainage Areas'!D21="","",(IF(AB20&gt;0,VLOOKUP(AB20,'Saved Values'!L$25:$P$639,4),0)))</f>
        <v/>
      </c>
      <c r="AD20" s="117"/>
      <c r="AE20" s="77" t="str">
        <f t="shared" si="10"/>
        <v/>
      </c>
      <c r="AF20" s="74" t="str">
        <f>IF('1. Site Drainage Areas'!D21="","",(IF(AE20&gt;0.2*($Y20),(AE20-0.2*($Y20))^2/(AE20+0.8*($Y20)),0)))</f>
        <v/>
      </c>
      <c r="AG20" s="74" t="str">
        <f>IF('1. Site Drainage Areas'!D21="","",(IF($D20&gt;0,AF20-$E20*12/D20,AF20)))</f>
        <v/>
      </c>
      <c r="AH20" s="117" t="str">
        <f>IF('1. Site Drainage Areas'!D21="","",(IF(AG20&gt;=0.29,VLOOKUP(AG20,'Saved Values'!M$25:$P$639,3),0)))</f>
        <v/>
      </c>
      <c r="AI20" s="117"/>
      <c r="AJ20" s="77" t="str">
        <f t="shared" si="11"/>
        <v/>
      </c>
      <c r="AK20" s="74" t="str">
        <f>IF('1. Site Drainage Areas'!D21="","",(IF(AJ20&gt;0.2*($Y20),(AJ20-0.2*($Y20))^2/(AJ20+0.8*($Y20)),0)))</f>
        <v/>
      </c>
      <c r="AL20" s="74" t="str">
        <f>IF('1. Site Drainage Areas'!D21="","",(IF($D20&gt;0,AK20-$E20*12/D20,AK20)))</f>
        <v/>
      </c>
      <c r="AM20" s="118" t="str">
        <f>IF('1. Site Drainage Areas'!D21="","",(IF(AL20&gt;=1.4,VLOOKUP(AL20,'Saved Values'!N$25:$P$639,2),0)))</f>
        <v/>
      </c>
    </row>
    <row r="21" spans="2:39" x14ac:dyDescent="0.3">
      <c r="B21" s="123" t="str">
        <f>IF('1. Site Drainage Areas'!D22="","",'1. Site Drainage Areas'!D22)</f>
        <v/>
      </c>
      <c r="C21" s="131" t="str">
        <f>IF('1. Site Drainage Areas'!D22="","",'1. Site Drainage Areas'!E22)</f>
        <v/>
      </c>
      <c r="D21" s="72" t="str">
        <f>IF('1. Site Drainage Areas'!D22="","",(IF(C21="No",'1. Site Drainage Areas'!J22,0)))</f>
        <v/>
      </c>
      <c r="E21" s="65" t="str">
        <f>IF('1. Site Drainage Areas'!D22="","",(IF(C21="No",'1. Site Drainage Areas'!AR22,0)))</f>
        <v/>
      </c>
      <c r="F21" s="65" t="str">
        <f>IF('1. Site Drainage Areas'!D22="","",(IF(C21="No",SUMIF('1. Site Drainage Areas'!$D$9:$D$25,'3. Detention'!$B21,'1. Site Drainage Areas'!$F$9:$F$25),0)))</f>
        <v/>
      </c>
      <c r="G21" s="184" t="str">
        <f t="shared" si="2"/>
        <v/>
      </c>
      <c r="H21" s="65" t="str">
        <f>IF('1. Site Drainage Areas'!D22="","",(IF(C21="No",SUMIF('1. Site Drainage Areas'!$D$9:$D$25,'3. Detention'!$B21,'1. Site Drainage Areas'!$G$9:$G$25),0)))</f>
        <v/>
      </c>
      <c r="I21" s="184" t="str">
        <f t="shared" si="3"/>
        <v/>
      </c>
      <c r="J21" s="65" t="str">
        <f>IF('1. Site Drainage Areas'!D22="","",(IF(C21="No",SUMIF('1. Site Drainage Areas'!$D$9:$D$25,'3. Detention'!$B21,'1. Site Drainage Areas'!$H$9:$H$25),0)))</f>
        <v/>
      </c>
      <c r="K21" s="223" t="str">
        <f t="shared" si="4"/>
        <v/>
      </c>
      <c r="L21" s="65" t="str">
        <f>IF('1. Site Drainage Areas'!D22="","",(IF(C21="No",SUMIF('1. Site Drainage Areas'!$D$9:$D$25,'3. Detention'!$B21,'1. Site Drainage Areas'!$I$9:$I$25),0)))</f>
        <v/>
      </c>
      <c r="M21" s="223" t="str">
        <f t="shared" si="5"/>
        <v/>
      </c>
      <c r="N21" s="73" t="str">
        <f>IF('1. Site Drainage Areas'!D22="","",(IF(D21&gt;0,(F21*G21+H21*I21+J21*K21+L21*M21)/D21,0)))</f>
        <v/>
      </c>
      <c r="O21" s="77" t="str">
        <f>IF('1. Site Drainage Areas'!D22="","",(IF(N21&gt;0,1000/N21-10,1000)))</f>
        <v/>
      </c>
      <c r="P21" s="65" t="str">
        <f>IF('1. Site Drainage Areas'!D22="","",(IF(C21="No",SUMIF('1. Site Drainage Areas'!$D$8:$D$25,'3. Detention'!$B21,'1. Site Drainage Areas'!$P$8:$P$25),0)))</f>
        <v/>
      </c>
      <c r="Q21" s="184" t="str">
        <f t="shared" si="6"/>
        <v/>
      </c>
      <c r="R21" s="65" t="str">
        <f>IF('1. Site Drainage Areas'!D22="","",(IF(C21="No",SUMIF('1. Site Drainage Areas'!$D$8:$D$25,'3. Detention'!$B21,'1. Site Drainage Areas'!$Q$8:$Q$25),0)))</f>
        <v/>
      </c>
      <c r="S21" s="184" t="str">
        <f t="shared" si="7"/>
        <v/>
      </c>
      <c r="T21" s="65" t="str">
        <f>IF('1. Site Drainage Areas'!D22="","",(IF(C21="No",SUMIF('1. Site Drainage Areas'!$D$8:$D$25,'3. Detention'!$B21,'1. Site Drainage Areas'!$R$8:$R$25),0)))</f>
        <v/>
      </c>
      <c r="U21" s="223" t="str">
        <f t="shared" si="8"/>
        <v/>
      </c>
      <c r="V21" s="65" t="str">
        <f>IF('1. Site Drainage Areas'!D22="","",(IF(C21="No",SUMIF('1. Site Drainage Areas'!$D$8:$D$25,'3. Detention'!$B21,'1. Site Drainage Areas'!$T$8:$T$25),0)))</f>
        <v/>
      </c>
      <c r="W21" s="223" t="str">
        <f t="shared" si="1"/>
        <v/>
      </c>
      <c r="X21" s="73" t="str">
        <f>IF('1. Site Drainage Areas'!D22="","",(IF(D21&gt;0,(P21*Q21+R21*S21+T21*U21+V21*W21)/D21,0)))</f>
        <v/>
      </c>
      <c r="Y21" s="77" t="str">
        <f>IF('1. Site Drainage Areas'!D22="","",(IF(X21&gt;0,1000/X21-10,1000)))</f>
        <v/>
      </c>
      <c r="Z21" s="77" t="str">
        <f t="shared" si="9"/>
        <v/>
      </c>
      <c r="AA21" s="74" t="str">
        <f>IF('1. Site Drainage Areas'!D22="","",(IF(Z21&gt;0.2*($Y21),(Z21-0.2*($Y21))^2/(Z21+0.8*($Y21)),0)))</f>
        <v/>
      </c>
      <c r="AB21" s="74" t="str">
        <f>IF('1. Site Drainage Areas'!D22="","",(IF($D21&gt;0,AA21-$E21*12/D21,AA21)))</f>
        <v/>
      </c>
      <c r="AC21" s="117" t="str">
        <f>IF('1. Site Drainage Areas'!D22="","",(IF(AB21&gt;0,VLOOKUP(AB21,'Saved Values'!L$25:$P$639,4),0)))</f>
        <v/>
      </c>
      <c r="AD21" s="117"/>
      <c r="AE21" s="77" t="str">
        <f t="shared" si="10"/>
        <v/>
      </c>
      <c r="AF21" s="74" t="str">
        <f>IF('1. Site Drainage Areas'!D22="","",(IF(AE21&gt;0.2*($Y21),(AE21-0.2*($Y21))^2/(AE21+0.8*($Y21)),0)))</f>
        <v/>
      </c>
      <c r="AG21" s="74" t="str">
        <f>IF('1. Site Drainage Areas'!D22="","",(IF($D21&gt;0,AF21-$E21*12/D21,AF21)))</f>
        <v/>
      </c>
      <c r="AH21" s="117" t="str">
        <f>IF('1. Site Drainage Areas'!D22="","",(IF(AG21&gt;=0.29,VLOOKUP(AG21,'Saved Values'!M$25:$P$639,3),0)))</f>
        <v/>
      </c>
      <c r="AI21" s="117"/>
      <c r="AJ21" s="77" t="str">
        <f t="shared" si="11"/>
        <v/>
      </c>
      <c r="AK21" s="74" t="str">
        <f>IF('1. Site Drainage Areas'!D22="","",(IF(AJ21&gt;0.2*($Y21),(AJ21-0.2*($Y21))^2/(AJ21+0.8*($Y21)),0)))</f>
        <v/>
      </c>
      <c r="AL21" s="74" t="str">
        <f>IF('1. Site Drainage Areas'!D22="","",(IF($D21&gt;0,AK21-$E21*12/D21,AK21)))</f>
        <v/>
      </c>
      <c r="AM21" s="118" t="str">
        <f>IF('1. Site Drainage Areas'!D22="","",(IF(AL21&gt;=1.4,VLOOKUP(AL21,'Saved Values'!N$25:$P$639,2),0)))</f>
        <v/>
      </c>
    </row>
    <row r="22" spans="2:39" x14ac:dyDescent="0.3">
      <c r="B22" s="123" t="str">
        <f>IF('1. Site Drainage Areas'!D23="","",'1. Site Drainage Areas'!D23)</f>
        <v/>
      </c>
      <c r="C22" s="131" t="str">
        <f>IF('1. Site Drainage Areas'!D23="","",'1. Site Drainage Areas'!E23)</f>
        <v/>
      </c>
      <c r="D22" s="72" t="str">
        <f>IF('1. Site Drainage Areas'!D23="","",(IF(C22="No",'1. Site Drainage Areas'!J23,0)))</f>
        <v/>
      </c>
      <c r="E22" s="65" t="str">
        <f>IF('1. Site Drainage Areas'!D23="","",(IF(C22="No",'1. Site Drainage Areas'!AR23,0)))</f>
        <v/>
      </c>
      <c r="F22" s="65" t="str">
        <f>IF('1. Site Drainage Areas'!D23="","",(IF(C22="No",SUMIF('1. Site Drainage Areas'!$D$9:$D$25,'3. Detention'!$B22,'1. Site Drainage Areas'!$F$9:$F$25),0)))</f>
        <v/>
      </c>
      <c r="G22" s="184" t="str">
        <f t="shared" si="2"/>
        <v/>
      </c>
      <c r="H22" s="65" t="str">
        <f>IF('1. Site Drainage Areas'!D23="","",(IF(C22="No",SUMIF('1. Site Drainage Areas'!$D$9:$D$25,'3. Detention'!$B22,'1. Site Drainage Areas'!$G$9:$G$25),0)))</f>
        <v/>
      </c>
      <c r="I22" s="184" t="str">
        <f t="shared" si="3"/>
        <v/>
      </c>
      <c r="J22" s="65" t="str">
        <f>IF('1. Site Drainage Areas'!D23="","",(IF(C22="No",SUMIF('1. Site Drainage Areas'!$D$9:$D$25,'3. Detention'!$B22,'1. Site Drainage Areas'!$H$9:$H$25),0)))</f>
        <v/>
      </c>
      <c r="K22" s="223" t="str">
        <f t="shared" si="4"/>
        <v/>
      </c>
      <c r="L22" s="65" t="str">
        <f>IF('1. Site Drainage Areas'!D23="","",(IF(C22="No",SUMIF('1. Site Drainage Areas'!$D$9:$D$25,'3. Detention'!$B22,'1. Site Drainage Areas'!$I$9:$I$25),0)))</f>
        <v/>
      </c>
      <c r="M22" s="223" t="str">
        <f t="shared" si="5"/>
        <v/>
      </c>
      <c r="N22" s="73" t="str">
        <f>IF('1. Site Drainage Areas'!D23="","",(IF(D22&gt;0,(F22*G22+H22*I22+J22*K22+L22*M22)/D22,0)))</f>
        <v/>
      </c>
      <c r="O22" s="77" t="str">
        <f>IF('1. Site Drainage Areas'!D23="","",(IF(N22&gt;0,1000/N22-10,1000)))</f>
        <v/>
      </c>
      <c r="P22" s="65" t="str">
        <f>IF('1. Site Drainage Areas'!D23="","",(IF(C22="No",SUMIF('1. Site Drainage Areas'!$D$8:$D$25,'3. Detention'!$B22,'1. Site Drainage Areas'!$P$8:$P$25),0)))</f>
        <v/>
      </c>
      <c r="Q22" s="184" t="str">
        <f t="shared" si="6"/>
        <v/>
      </c>
      <c r="R22" s="65" t="str">
        <f>IF('1. Site Drainage Areas'!D23="","",(IF(C22="No",SUMIF('1. Site Drainage Areas'!$D$8:$D$25,'3. Detention'!$B22,'1. Site Drainage Areas'!$Q$8:$Q$25),0)))</f>
        <v/>
      </c>
      <c r="S22" s="184" t="str">
        <f t="shared" si="7"/>
        <v/>
      </c>
      <c r="T22" s="65" t="str">
        <f>IF('1. Site Drainage Areas'!D23="","",(IF(C22="No",SUMIF('1. Site Drainage Areas'!$D$8:$D$25,'3. Detention'!$B22,'1. Site Drainage Areas'!$R$8:$R$25),0)))</f>
        <v/>
      </c>
      <c r="U22" s="223" t="str">
        <f t="shared" si="8"/>
        <v/>
      </c>
      <c r="V22" s="65" t="str">
        <f>IF('1. Site Drainage Areas'!D23="","",(IF(C22="No",SUMIF('1. Site Drainage Areas'!$D$8:$D$25,'3. Detention'!$B22,'1. Site Drainage Areas'!$T$8:$T$25),0)))</f>
        <v/>
      </c>
      <c r="W22" s="223" t="str">
        <f t="shared" si="1"/>
        <v/>
      </c>
      <c r="X22" s="73" t="str">
        <f>IF('1. Site Drainage Areas'!D23="","",(IF(D22&gt;0,(P22*Q22+R22*S22+T22*U22+V22*W22)/D22,0)))</f>
        <v/>
      </c>
      <c r="Y22" s="77" t="str">
        <f>IF('1. Site Drainage Areas'!D23="","",(IF(X22&gt;0,1000/X22-10,1000)))</f>
        <v/>
      </c>
      <c r="Z22" s="77" t="str">
        <f t="shared" si="9"/>
        <v/>
      </c>
      <c r="AA22" s="74" t="str">
        <f>IF('1. Site Drainage Areas'!D23="","",(IF(Z22&gt;0.2*($Y22),(Z22-0.2*($Y22))^2/(Z22+0.8*($Y22)),0)))</f>
        <v/>
      </c>
      <c r="AB22" s="74" t="str">
        <f>IF('1. Site Drainage Areas'!D23="","",(IF($D22&gt;0,AA22-$E22*12/D22,AA22)))</f>
        <v/>
      </c>
      <c r="AC22" s="117" t="str">
        <f>IF('1. Site Drainage Areas'!D23="","",(IF(AB22&gt;0,VLOOKUP(AB22,'Saved Values'!L$25:$P$639,4),0)))</f>
        <v/>
      </c>
      <c r="AD22" s="117"/>
      <c r="AE22" s="77" t="str">
        <f t="shared" si="10"/>
        <v/>
      </c>
      <c r="AF22" s="74" t="str">
        <f>IF('1. Site Drainage Areas'!D23="","",(IF(AE22&gt;0.2*($Y22),(AE22-0.2*($Y22))^2/(AE22+0.8*($Y22)),0)))</f>
        <v/>
      </c>
      <c r="AG22" s="74" t="str">
        <f>IF('1. Site Drainage Areas'!D23="","",(IF($D22&gt;0,AF22-$E22*12/D22,AF22)))</f>
        <v/>
      </c>
      <c r="AH22" s="117" t="str">
        <f>IF('1. Site Drainage Areas'!D23="","",(IF(AG22&gt;=0.29,VLOOKUP(AG22,'Saved Values'!M$25:$P$639,3),0)))</f>
        <v/>
      </c>
      <c r="AI22" s="117"/>
      <c r="AJ22" s="77" t="str">
        <f t="shared" si="11"/>
        <v/>
      </c>
      <c r="AK22" s="74" t="str">
        <f>IF('1. Site Drainage Areas'!D23="","",(IF(AJ22&gt;0.2*($Y22),(AJ22-0.2*($Y22))^2/(AJ22+0.8*($Y22)),0)))</f>
        <v/>
      </c>
      <c r="AL22" s="74" t="str">
        <f>IF('1. Site Drainage Areas'!D23="","",(IF($D22&gt;0,AK22-$E22*12/D22,AK22)))</f>
        <v/>
      </c>
      <c r="AM22" s="118" t="str">
        <f>IF('1. Site Drainage Areas'!D23="","",(IF(AL22&gt;=1.4,VLOOKUP(AL22,'Saved Values'!N$25:$P$639,2),0)))</f>
        <v/>
      </c>
    </row>
    <row r="23" spans="2:39" x14ac:dyDescent="0.3">
      <c r="B23" s="123" t="str">
        <f>IF('1. Site Drainage Areas'!D24="","",'1. Site Drainage Areas'!D24)</f>
        <v/>
      </c>
      <c r="C23" s="131" t="str">
        <f>IF('1. Site Drainage Areas'!D24="","",'1. Site Drainage Areas'!E24)</f>
        <v/>
      </c>
      <c r="D23" s="72" t="str">
        <f>IF('1. Site Drainage Areas'!D24="","",(IF(C23="No",'1. Site Drainage Areas'!J24,0)))</f>
        <v/>
      </c>
      <c r="E23" s="65" t="str">
        <f>IF('1. Site Drainage Areas'!D24="","",(IF(C23="No",'1. Site Drainage Areas'!AR24,0)))</f>
        <v/>
      </c>
      <c r="F23" s="65" t="str">
        <f>IF('1. Site Drainage Areas'!D24="","",(IF(C23="No",SUMIF('1. Site Drainage Areas'!$D$9:$D$25,'3. Detention'!$B23,'1. Site Drainage Areas'!$F$9:$F$25),0)))</f>
        <v/>
      </c>
      <c r="G23" s="184" t="str">
        <f t="shared" si="2"/>
        <v/>
      </c>
      <c r="H23" s="65" t="str">
        <f>IF('1. Site Drainage Areas'!D24="","",(IF(C23="No",SUMIF('1. Site Drainage Areas'!$D$9:$D$25,'3. Detention'!$B23,'1. Site Drainage Areas'!$G$9:$G$25),0)))</f>
        <v/>
      </c>
      <c r="I23" s="184" t="str">
        <f t="shared" si="3"/>
        <v/>
      </c>
      <c r="J23" s="65" t="str">
        <f>IF('1. Site Drainage Areas'!D24="","",(IF(C23="No",SUMIF('1. Site Drainage Areas'!$D$9:$D$25,'3. Detention'!$B23,'1. Site Drainage Areas'!$H$9:$H$25),0)))</f>
        <v/>
      </c>
      <c r="K23" s="223" t="str">
        <f t="shared" si="4"/>
        <v/>
      </c>
      <c r="L23" s="65" t="str">
        <f>IF('1. Site Drainage Areas'!D24="","",(IF(C23="No",SUMIF('1. Site Drainage Areas'!$D$9:$D$25,'3. Detention'!$B23,'1. Site Drainage Areas'!$I$9:$I$25),0)))</f>
        <v/>
      </c>
      <c r="M23" s="223" t="str">
        <f t="shared" si="5"/>
        <v/>
      </c>
      <c r="N23" s="73" t="str">
        <f>IF('1. Site Drainage Areas'!D24="","",(IF(D23&gt;0,(F23*G23+H23*I23+J23*K23+L23*M23)/D23,0)))</f>
        <v/>
      </c>
      <c r="O23" s="77" t="str">
        <f>IF('1. Site Drainage Areas'!D24="","",(IF(N23&gt;0,1000/N23-10,1000)))</f>
        <v/>
      </c>
      <c r="P23" s="65" t="str">
        <f>IF('1. Site Drainage Areas'!D24="","",(IF(C23="No",SUMIF('1. Site Drainage Areas'!$D$8:$D$25,'3. Detention'!$B23,'1. Site Drainage Areas'!$P$8:$P$25),0)))</f>
        <v/>
      </c>
      <c r="Q23" s="184" t="str">
        <f t="shared" si="6"/>
        <v/>
      </c>
      <c r="R23" s="65" t="str">
        <f>IF('1. Site Drainage Areas'!D24="","",(IF(C23="No",SUMIF('1. Site Drainage Areas'!$D$8:$D$25,'3. Detention'!$B23,'1. Site Drainage Areas'!$Q$8:$Q$25),0)))</f>
        <v/>
      </c>
      <c r="S23" s="184" t="str">
        <f t="shared" si="7"/>
        <v/>
      </c>
      <c r="T23" s="65" t="str">
        <f>IF('1. Site Drainage Areas'!D24="","",(IF(C23="No",SUMIF('1. Site Drainage Areas'!$D$8:$D$25,'3. Detention'!$B23,'1. Site Drainage Areas'!$R$8:$R$25),0)))</f>
        <v/>
      </c>
      <c r="U23" s="223" t="str">
        <f t="shared" si="8"/>
        <v/>
      </c>
      <c r="V23" s="65" t="str">
        <f>IF('1. Site Drainage Areas'!D24="","",(IF(C23="No",SUMIF('1. Site Drainage Areas'!$D$8:$D$25,'3. Detention'!$B23,'1. Site Drainage Areas'!$T$8:$T$25),0)))</f>
        <v/>
      </c>
      <c r="W23" s="223" t="str">
        <f t="shared" si="1"/>
        <v/>
      </c>
      <c r="X23" s="73" t="str">
        <f>IF('1. Site Drainage Areas'!D24="","",(IF(D23&gt;0,(P23*Q23+R23*S23+T23*U23+V23*W23)/D23,0)))</f>
        <v/>
      </c>
      <c r="Y23" s="77" t="str">
        <f>IF('1. Site Drainage Areas'!D24="","",(IF(X23&gt;0,1000/X23-10,1000)))</f>
        <v/>
      </c>
      <c r="Z23" s="77" t="str">
        <f t="shared" si="9"/>
        <v/>
      </c>
      <c r="AA23" s="74" t="str">
        <f>IF('1. Site Drainage Areas'!D24="","",(IF(Z23&gt;0.2*($Y23),(Z23-0.2*($Y23))^2/(Z23+0.8*($Y23)),0)))</f>
        <v/>
      </c>
      <c r="AB23" s="74" t="str">
        <f>IF('1. Site Drainage Areas'!D24="","",(IF($D23&gt;0,AA23-$E23*12/D23,AA23)))</f>
        <v/>
      </c>
      <c r="AC23" s="117" t="str">
        <f>IF('1. Site Drainage Areas'!D24="","",(IF(AB23&gt;0,VLOOKUP(AB23,'Saved Values'!L$25:$P$639,4),0)))</f>
        <v/>
      </c>
      <c r="AD23" s="117"/>
      <c r="AE23" s="77" t="str">
        <f t="shared" si="10"/>
        <v/>
      </c>
      <c r="AF23" s="74" t="str">
        <f>IF('1. Site Drainage Areas'!D24="","",(IF(AE23&gt;0.2*($Y23),(AE23-0.2*($Y23))^2/(AE23+0.8*($Y23)),0)))</f>
        <v/>
      </c>
      <c r="AG23" s="74" t="str">
        <f>IF('1. Site Drainage Areas'!D24="","",(IF($D23&gt;0,AF23-$E23*12/D23,AF23)))</f>
        <v/>
      </c>
      <c r="AH23" s="117" t="str">
        <f>IF('1. Site Drainage Areas'!D24="","",(IF(AG23&gt;=0.29,VLOOKUP(AG23,'Saved Values'!M$25:$P$639,3),0)))</f>
        <v/>
      </c>
      <c r="AI23" s="117"/>
      <c r="AJ23" s="77" t="str">
        <f t="shared" si="11"/>
        <v/>
      </c>
      <c r="AK23" s="74" t="str">
        <f>IF('1. Site Drainage Areas'!D24="","",(IF(AJ23&gt;0.2*($Y23),(AJ23-0.2*($Y23))^2/(AJ23+0.8*($Y23)),0)))</f>
        <v/>
      </c>
      <c r="AL23" s="74" t="str">
        <f>IF('1. Site Drainage Areas'!D24="","",(IF($D23&gt;0,AK23-$E23*12/D23,AK23)))</f>
        <v/>
      </c>
      <c r="AM23" s="118" t="str">
        <f>IF('1. Site Drainage Areas'!D24="","",(IF(AL23&gt;=1.4,VLOOKUP(AL23,'Saved Values'!N$25:$P$639,2),0)))</f>
        <v/>
      </c>
    </row>
    <row r="24" spans="2:39" x14ac:dyDescent="0.3">
      <c r="B24" s="123" t="str">
        <f>IF('1. Site Drainage Areas'!D25="","",'1. Site Drainage Areas'!D25)</f>
        <v/>
      </c>
      <c r="C24" s="131" t="str">
        <f>IF('1. Site Drainage Areas'!D25="","",'1. Site Drainage Areas'!E25)</f>
        <v/>
      </c>
      <c r="D24" s="72" t="str">
        <f>IF('1. Site Drainage Areas'!D25="","",(IF(C24="No",'1. Site Drainage Areas'!J25,0)))</f>
        <v/>
      </c>
      <c r="E24" s="65" t="str">
        <f>IF('1. Site Drainage Areas'!D25="","",(IF(C24="No",'1. Site Drainage Areas'!AR25,0)))</f>
        <v/>
      </c>
      <c r="F24" s="65" t="str">
        <f>IF('1. Site Drainage Areas'!D25="","",(IF(C24="No",SUMIF('1. Site Drainage Areas'!$D$9:$D$25,'3. Detention'!$B24,'1. Site Drainage Areas'!$F$9:$F$25),0)))</f>
        <v/>
      </c>
      <c r="G24" s="184" t="str">
        <f t="shared" si="2"/>
        <v/>
      </c>
      <c r="H24" s="65" t="str">
        <f>IF('1. Site Drainage Areas'!D25="","",(IF(C24="No",SUMIF('1. Site Drainage Areas'!$D$9:$D$25,'3. Detention'!$B24,'1. Site Drainage Areas'!$G$9:$G$25),0)))</f>
        <v/>
      </c>
      <c r="I24" s="184" t="str">
        <f t="shared" si="3"/>
        <v/>
      </c>
      <c r="J24" s="65" t="str">
        <f>IF('1. Site Drainage Areas'!D25="","",(IF(C24="No",SUMIF('1. Site Drainage Areas'!$D$9:$D$25,'3. Detention'!$B24,'1. Site Drainage Areas'!$H$9:$H$25),0)))</f>
        <v/>
      </c>
      <c r="K24" s="223" t="str">
        <f t="shared" si="4"/>
        <v/>
      </c>
      <c r="L24" s="65" t="str">
        <f>IF('1. Site Drainage Areas'!D25="","",(IF(C24="No",SUMIF('1. Site Drainage Areas'!$D$9:$D$25,'3. Detention'!$B24,'1. Site Drainage Areas'!$I$9:$I$25),0)))</f>
        <v/>
      </c>
      <c r="M24" s="223" t="str">
        <f t="shared" si="5"/>
        <v/>
      </c>
      <c r="N24" s="73" t="str">
        <f>IF('1. Site Drainage Areas'!D25="","",(IF(D24&gt;0,(F24*G24+H24*I24+J24*K24+L24*M24)/D24,0)))</f>
        <v/>
      </c>
      <c r="O24" s="77" t="str">
        <f>IF('1. Site Drainage Areas'!D25="","",(IF(N24&gt;0,1000/N24-10,1000)))</f>
        <v/>
      </c>
      <c r="P24" s="65" t="str">
        <f>IF('1. Site Drainage Areas'!D25="","",(IF(C24="No",SUMIF('1. Site Drainage Areas'!$D$8:$D$25,'3. Detention'!$B24,'1. Site Drainage Areas'!$P$8:$P$25),0)))</f>
        <v/>
      </c>
      <c r="Q24" s="184" t="str">
        <f t="shared" si="6"/>
        <v/>
      </c>
      <c r="R24" s="65" t="str">
        <f>IF('1. Site Drainage Areas'!D25="","",(IF(C24="No",SUMIF('1. Site Drainage Areas'!$D$8:$D$25,'3. Detention'!$B24,'1. Site Drainage Areas'!$Q$8:$Q$25),0)))</f>
        <v/>
      </c>
      <c r="S24" s="184" t="str">
        <f t="shared" si="7"/>
        <v/>
      </c>
      <c r="T24" s="65" t="str">
        <f>IF('1. Site Drainage Areas'!D25="","",(IF(C24="No",SUMIF('1. Site Drainage Areas'!$D$8:$D$25,'3. Detention'!$B24,'1. Site Drainage Areas'!$R$8:$R$25),0)))</f>
        <v/>
      </c>
      <c r="U24" s="223" t="str">
        <f t="shared" si="8"/>
        <v/>
      </c>
      <c r="V24" s="65" t="str">
        <f>IF('1. Site Drainage Areas'!D25="","",(IF(C24="No",SUMIF('1. Site Drainage Areas'!$D$8:$D$25,'3. Detention'!$B24,'1. Site Drainage Areas'!$T$8:$T$25),0)))</f>
        <v/>
      </c>
      <c r="W24" s="223" t="str">
        <f t="shared" si="1"/>
        <v/>
      </c>
      <c r="X24" s="73" t="str">
        <f>IF('1. Site Drainage Areas'!D25="","",(IF(D24&gt;0,(P24*Q24+R24*S24+T24*U24+V24*W24)/D24,0)))</f>
        <v/>
      </c>
      <c r="Y24" s="77" t="str">
        <f>IF('1. Site Drainage Areas'!D25="","",(IF(X24&gt;0,1000/X24-10,1000)))</f>
        <v/>
      </c>
      <c r="Z24" s="77" t="str">
        <f t="shared" si="9"/>
        <v/>
      </c>
      <c r="AA24" s="74" t="str">
        <f>IF('1. Site Drainage Areas'!D25="","",(IF(Z24&gt;0.2*($Y24),(Z24-0.2*($Y24))^2/(Z24+0.8*($Y24)),0)))</f>
        <v/>
      </c>
      <c r="AB24" s="74" t="str">
        <f>IF('1. Site Drainage Areas'!D25="","",(IF($D24&gt;0,AA24-$E24*12/D24,AA24)))</f>
        <v/>
      </c>
      <c r="AC24" s="117" t="str">
        <f>IF('1. Site Drainage Areas'!D25="","",(IF(AB24&gt;0,VLOOKUP(AB24,'Saved Values'!L$25:$P$639,4),0)))</f>
        <v/>
      </c>
      <c r="AD24" s="117"/>
      <c r="AE24" s="77" t="str">
        <f t="shared" si="10"/>
        <v/>
      </c>
      <c r="AF24" s="74" t="str">
        <f>IF('1. Site Drainage Areas'!D25="","",(IF(AE24&gt;0.2*($Y24),(AE24-0.2*($Y24))^2/(AE24+0.8*($Y24)),0)))</f>
        <v/>
      </c>
      <c r="AG24" s="74" t="str">
        <f>IF('1. Site Drainage Areas'!D25="","",(IF($D24&gt;0,AF24-$E24*12/D24,AF24)))</f>
        <v/>
      </c>
      <c r="AH24" s="117" t="str">
        <f>IF('1. Site Drainage Areas'!D25="","",(IF(AG24&gt;=0.29,VLOOKUP(AG24,'Saved Values'!M$25:$P$639,3),0)))</f>
        <v/>
      </c>
      <c r="AI24" s="117"/>
      <c r="AJ24" s="77" t="str">
        <f t="shared" si="11"/>
        <v/>
      </c>
      <c r="AK24" s="74" t="str">
        <f>IF('1. Site Drainage Areas'!D25="","",(IF(AJ24&gt;0.2*($Y24),(AJ24-0.2*($Y24))^2/(AJ24+0.8*($Y24)),0)))</f>
        <v/>
      </c>
      <c r="AL24" s="74" t="str">
        <f>IF('1. Site Drainage Areas'!D25="","",(IF($D24&gt;0,AK24-$E24*12/D24,AK24)))</f>
        <v/>
      </c>
      <c r="AM24" s="118" t="str">
        <f>IF('1. Site Drainage Areas'!D25="","",(IF(AL24&gt;=1.4,VLOOKUP(AL24,'Saved Values'!N$25:$P$639,2),0)))</f>
        <v/>
      </c>
    </row>
  </sheetData>
  <sheetProtection algorithmName="SHA-512" hashValue="875kWNp0vvX4lNaUhAvRkKSd/MnTRuMw4L8D4Eug5us9gDhAzFewmJT3Qp0i7NQGAvgxcX0/5F077/tXdYysJA==" saltValue="iltj7dwhDEdsjVw7kzCwPA==" spinCount="100000" sheet="1" objects="1" scenarios="1"/>
  <mergeCells count="9">
    <mergeCell ref="C3:E3"/>
    <mergeCell ref="B3:B6"/>
    <mergeCell ref="AJ3:AM3"/>
    <mergeCell ref="F3:O3"/>
    <mergeCell ref="P3:Y3"/>
    <mergeCell ref="AD4:AD6"/>
    <mergeCell ref="Z3:AD3"/>
    <mergeCell ref="AI4:AI6"/>
    <mergeCell ref="AE3:AI3"/>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theme="9" tint="-0.249977111117893"/>
  </sheetPr>
  <dimension ref="D1:Y639"/>
  <sheetViews>
    <sheetView workbookViewId="0">
      <selection activeCell="I4" sqref="I4"/>
    </sheetView>
  </sheetViews>
  <sheetFormatPr defaultRowHeight="14.4" x14ac:dyDescent="0.3"/>
  <cols>
    <col min="9" max="9" width="13.88671875" bestFit="1" customWidth="1"/>
  </cols>
  <sheetData>
    <row r="1" spans="4:25" x14ac:dyDescent="0.3">
      <c r="D1" s="2">
        <v>1</v>
      </c>
    </row>
    <row r="2" spans="4:25" x14ac:dyDescent="0.3">
      <c r="D2" s="2">
        <v>2</v>
      </c>
    </row>
    <row r="3" spans="4:25" x14ac:dyDescent="0.3">
      <c r="D3" s="2">
        <v>3</v>
      </c>
      <c r="G3" t="s">
        <v>168</v>
      </c>
      <c r="I3" t="s">
        <v>300</v>
      </c>
    </row>
    <row r="4" spans="4:25" x14ac:dyDescent="0.3">
      <c r="D4" s="3">
        <v>4</v>
      </c>
      <c r="G4" t="s">
        <v>169</v>
      </c>
      <c r="I4" t="s">
        <v>301</v>
      </c>
    </row>
    <row r="5" spans="4:25" x14ac:dyDescent="0.3">
      <c r="D5" s="3">
        <v>5</v>
      </c>
      <c r="I5" t="s">
        <v>170</v>
      </c>
    </row>
    <row r="6" spans="4:25" x14ac:dyDescent="0.3">
      <c r="D6" s="3">
        <v>6</v>
      </c>
      <c r="I6" t="s">
        <v>171</v>
      </c>
      <c r="Y6" s="25"/>
    </row>
    <row r="7" spans="4:25" x14ac:dyDescent="0.3">
      <c r="D7" s="3">
        <v>7</v>
      </c>
      <c r="Y7" s="25"/>
    </row>
    <row r="8" spans="4:25" x14ac:dyDescent="0.3">
      <c r="D8" s="3">
        <v>8</v>
      </c>
      <c r="Y8" s="25"/>
    </row>
    <row r="9" spans="4:25" x14ac:dyDescent="0.3">
      <c r="D9" s="2">
        <v>9</v>
      </c>
      <c r="Y9" s="25"/>
    </row>
    <row r="10" spans="4:25" x14ac:dyDescent="0.3">
      <c r="D10" s="2">
        <v>10</v>
      </c>
    </row>
    <row r="11" spans="4:25" x14ac:dyDescent="0.3">
      <c r="D11" s="2">
        <v>11</v>
      </c>
    </row>
    <row r="12" spans="4:25" x14ac:dyDescent="0.3">
      <c r="D12" s="3">
        <v>12</v>
      </c>
    </row>
    <row r="13" spans="4:25" x14ac:dyDescent="0.3">
      <c r="D13" s="3">
        <v>13</v>
      </c>
    </row>
    <row r="14" spans="4:25" x14ac:dyDescent="0.3">
      <c r="D14" s="3">
        <v>14</v>
      </c>
    </row>
    <row r="15" spans="4:25" x14ac:dyDescent="0.3">
      <c r="D15" s="3">
        <v>15</v>
      </c>
    </row>
    <row r="16" spans="4:25" x14ac:dyDescent="0.3">
      <c r="D16" s="3">
        <v>16</v>
      </c>
    </row>
    <row r="17" spans="4:16" x14ac:dyDescent="0.3">
      <c r="D17" s="2">
        <v>17</v>
      </c>
    </row>
    <row r="18" spans="4:16" x14ac:dyDescent="0.3">
      <c r="D18" s="2">
        <v>18</v>
      </c>
    </row>
    <row r="19" spans="4:16" x14ac:dyDescent="0.3">
      <c r="D19" s="2">
        <v>19</v>
      </c>
    </row>
    <row r="20" spans="4:16" x14ac:dyDescent="0.3">
      <c r="D20" s="3">
        <v>20</v>
      </c>
      <c r="L20" s="423" t="s">
        <v>173</v>
      </c>
      <c r="M20" s="424"/>
      <c r="N20" s="424"/>
      <c r="O20" s="424"/>
      <c r="P20" s="425"/>
    </row>
    <row r="21" spans="4:16" x14ac:dyDescent="0.3">
      <c r="D21" s="3">
        <v>21</v>
      </c>
      <c r="L21" s="22" t="str">
        <f>'3. Detention'!Z3</f>
        <v>2-year storm depth</v>
      </c>
      <c r="M21" s="22" t="str">
        <f>'3. Detention'!AE3</f>
        <v>15-year storm depth</v>
      </c>
      <c r="N21" s="22" t="str">
        <f>'3. Detention'!AJ3</f>
        <v>100-year storm depth</v>
      </c>
      <c r="O21" s="22"/>
      <c r="P21" s="22"/>
    </row>
    <row r="22" spans="4:16" x14ac:dyDescent="0.3">
      <c r="D22" s="3">
        <v>22</v>
      </c>
      <c r="L22" s="23" t="s">
        <v>174</v>
      </c>
      <c r="M22" s="23" t="s">
        <v>174</v>
      </c>
      <c r="N22" s="23" t="s">
        <v>174</v>
      </c>
      <c r="O22" s="22" t="s">
        <v>175</v>
      </c>
      <c r="P22" s="22" t="s">
        <v>158</v>
      </c>
    </row>
    <row r="23" spans="4:16" x14ac:dyDescent="0.3">
      <c r="D23" s="3">
        <v>23</v>
      </c>
      <c r="L23" s="22"/>
      <c r="M23" s="22"/>
      <c r="N23" s="22"/>
      <c r="O23" s="22"/>
      <c r="P23" s="22"/>
    </row>
    <row r="24" spans="4:16" x14ac:dyDescent="0.3">
      <c r="D24" s="3">
        <v>24</v>
      </c>
      <c r="L24" s="22"/>
      <c r="M24" s="22"/>
      <c r="N24" s="22"/>
      <c r="O24" s="22"/>
      <c r="P24" s="22"/>
    </row>
    <row r="25" spans="4:16" x14ac:dyDescent="0.3">
      <c r="D25" s="2">
        <v>25</v>
      </c>
      <c r="L25" s="24">
        <f>IF('3. Detention'!$Z$7&gt;0.2*($P25),('3. Detention'!$Z$7-0.2*($P25))^2/('3. Detention'!$Z$7+0.8*($P25)),0)</f>
        <v>1.2945838837516534E-3</v>
      </c>
      <c r="M25" s="24">
        <f>IF('3. Detention'!$AE$7&gt;0.2*($P25),('3. Detention'!$AE$7-0.2*($P25))^2/('3. Detention'!$AE$7+0.8*($P25)),0)</f>
        <v>0.28861868833430077</v>
      </c>
      <c r="N25" s="24">
        <f>IF('3. Detention'!$AJ$7&gt;0.2*($P25),('3. Detention'!$AJ$7-0.2*($P25))^2/('3. Detention'!$AJ$7+0.8*($P25)),0)</f>
        <v>1.4019469026548672</v>
      </c>
      <c r="O25" s="61">
        <v>40</v>
      </c>
      <c r="P25" s="24">
        <f t="shared" ref="P25:P104" si="0">IF(O25&gt;0,1000/O25-10,1000)</f>
        <v>15</v>
      </c>
    </row>
    <row r="26" spans="4:16" x14ac:dyDescent="0.3">
      <c r="D26" s="2">
        <v>26</v>
      </c>
      <c r="L26" s="24">
        <f>IF('3. Detention'!$Z$7&gt;0.2*($P26),('3. Detention'!$Z$7-0.2*($P26))^2/('3. Detention'!$Z$7+0.8*($P26)),0)</f>
        <v>1.5405269320575819E-3</v>
      </c>
      <c r="M26" s="24">
        <f>IF('3. Detention'!$AE$7&gt;0.2*($P26),('3. Detention'!$AE$7-0.2*($P26))^2/('3. Detention'!$AE$7+0.8*($P26)),0)</f>
        <v>0.29270255807102569</v>
      </c>
      <c r="N26" s="24">
        <f>IF('3. Detention'!$AJ$7&gt;0.2*($P26),('3. Detention'!$AJ$7-0.2*($P26))^2/('3. Detention'!$AJ$7+0.8*($P26)),0)</f>
        <v>1.4119638491188484</v>
      </c>
      <c r="O26" s="61">
        <f t="shared" ref="O26:O89" si="1">O25+0.1</f>
        <v>40.1</v>
      </c>
      <c r="P26" s="24">
        <f t="shared" si="0"/>
        <v>14.937655860349125</v>
      </c>
    </row>
    <row r="27" spans="4:16" x14ac:dyDescent="0.3">
      <c r="D27" s="2">
        <v>27</v>
      </c>
      <c r="L27" s="24">
        <f>IF('3. Detention'!$Z$7&gt;0.2*($P27),('3. Detention'!$Z$7-0.2*($P27))^2/('3. Detention'!$Z$7+0.8*($P27)),0)</f>
        <v>1.8073850729548662E-3</v>
      </c>
      <c r="M27" s="24">
        <f>IF('3. Detention'!$AE$7&gt;0.2*($P27),('3. Detention'!$AE$7-0.2*($P27))^2/('3. Detention'!$AE$7+0.8*($P27)),0)</f>
        <v>0.2968077294021757</v>
      </c>
      <c r="N27" s="24">
        <f>IF('3. Detention'!$AJ$7&gt;0.2*($P27),('3. Detention'!$AJ$7-0.2*($P27))^2/('3. Detention'!$AJ$7+0.8*($P27)),0)</f>
        <v>1.4219952064255823</v>
      </c>
      <c r="O27" s="61">
        <f t="shared" si="1"/>
        <v>40.200000000000003</v>
      </c>
      <c r="P27" s="24">
        <f t="shared" si="0"/>
        <v>14.875621890547261</v>
      </c>
    </row>
    <row r="28" spans="4:16" x14ac:dyDescent="0.3">
      <c r="D28" s="3">
        <v>28</v>
      </c>
      <c r="L28" s="24">
        <f>IF('3. Detention'!$Z$7&gt;0.2*($P28),('3. Detention'!$Z$7-0.2*($P28))^2/('3. Detention'!$Z$7+0.8*($P28)),0)</f>
        <v>2.0950559065727762E-3</v>
      </c>
      <c r="M28" s="24">
        <f>IF('3. Detention'!$AE$7&gt;0.2*($P28),('3. Detention'!$AE$7-0.2*($P28))^2/('3. Detention'!$AE$7+0.8*($P28)),0)</f>
        <v>0.3009340938733569</v>
      </c>
      <c r="N28" s="24">
        <f>IF('3. Detention'!$AJ$7&gt;0.2*($P28),('3. Detention'!$AJ$7-0.2*($P28))^2/('3. Detention'!$AJ$7+0.8*($P28)),0)</f>
        <v>1.4320408592648277</v>
      </c>
      <c r="O28" s="61">
        <f t="shared" si="1"/>
        <v>40.300000000000004</v>
      </c>
      <c r="P28" s="24">
        <f t="shared" si="0"/>
        <v>14.813895781637715</v>
      </c>
    </row>
    <row r="29" spans="4:16" x14ac:dyDescent="0.3">
      <c r="D29" s="3">
        <v>29</v>
      </c>
      <c r="L29" s="24">
        <f>IF('3. Detention'!$Z$7&gt;0.2*($P29),('3. Detention'!$Z$7-0.2*($P29))^2/('3. Detention'!$Z$7+0.8*($P29)),0)</f>
        <v>2.4034382181078438E-3</v>
      </c>
      <c r="M29" s="24">
        <f>IF('3. Detention'!$AE$7&gt;0.2*($P29),('3. Detention'!$AE$7-0.2*($P29))^2/('3. Detention'!$AE$7+0.8*($P29)),0)</f>
        <v>0.30508154418448441</v>
      </c>
      <c r="N29" s="24">
        <f>IF('3. Detention'!$AJ$7&gt;0.2*($P29),('3. Detention'!$AJ$7-0.2*($P29))^2/('3. Detention'!$AJ$7+0.8*($P29)),0)</f>
        <v>1.442100693469369</v>
      </c>
      <c r="O29" s="61">
        <f t="shared" si="1"/>
        <v>40.400000000000006</v>
      </c>
      <c r="P29" s="24">
        <f t="shared" si="0"/>
        <v>14.75247524752475</v>
      </c>
    </row>
    <row r="30" spans="4:16" x14ac:dyDescent="0.3">
      <c r="D30" s="3">
        <v>30</v>
      </c>
      <c r="L30" s="24">
        <f>IF('3. Detention'!$Z$7&gt;0.2*($P30),('3. Detention'!$Z$7-0.2*($P30))^2/('3. Detention'!$Z$7+0.8*($P30)),0)</f>
        <v>2.7324319638813849E-3</v>
      </c>
      <c r="M30" s="24">
        <f>IF('3. Detention'!$AE$7&gt;0.2*($P30),('3. Detention'!$AE$7-0.2*($P30))^2/('3. Detention'!$AE$7+0.8*($P30)),0)</f>
        <v>0.30924997417569339</v>
      </c>
      <c r="N30" s="24">
        <f>IF('3. Detention'!$AJ$7&gt;0.2*($P30),('3. Detention'!$AJ$7-0.2*($P30))^2/('3. Detention'!$AJ$7+0.8*($P30)),0)</f>
        <v>1.4521745960009032</v>
      </c>
      <c r="O30" s="61">
        <f t="shared" si="1"/>
        <v>40.500000000000007</v>
      </c>
      <c r="P30" s="24">
        <f t="shared" si="0"/>
        <v>14.691358024691354</v>
      </c>
    </row>
    <row r="31" spans="4:16" x14ac:dyDescent="0.3">
      <c r="D31" s="3">
        <v>31</v>
      </c>
      <c r="L31" s="24">
        <f>IF('3. Detention'!$Z$7&gt;0.2*($P31),('3. Detention'!$Z$7-0.2*($P31))^2/('3. Detention'!$Z$7+0.8*($P31)),0)</f>
        <v>3.0819382576064819E-3</v>
      </c>
      <c r="M31" s="24">
        <f>IF('3. Detention'!$AE$7&gt;0.2*($P31),('3. Detention'!$AE$7-0.2*($P31))^2/('3. Detention'!$AE$7+0.8*($P31)),0)</f>
        <v>0.31343927881345834</v>
      </c>
      <c r="N31" s="24">
        <f>IF('3. Detention'!$AJ$7&gt;0.2*($P31),('3. Detention'!$AJ$7-0.2*($P31))^2/('3. Detention'!$AJ$7+0.8*($P31)),0)</f>
        <v>1.4622624549361367</v>
      </c>
      <c r="O31" s="61">
        <f t="shared" si="1"/>
        <v>40.600000000000009</v>
      </c>
      <c r="P31" s="24">
        <f t="shared" si="0"/>
        <v>14.630541871921178</v>
      </c>
    </row>
    <row r="32" spans="4:16" x14ac:dyDescent="0.3">
      <c r="D32" s="3">
        <v>32</v>
      </c>
      <c r="L32" s="24">
        <f>IF('3. Detention'!$Z$7&gt;0.2*($P32),('3. Detention'!$Z$7-0.2*($P32))^2/('3. Detention'!$Z$7+0.8*($P32)),0)</f>
        <v>3.4518593568607404E-3</v>
      </c>
      <c r="M32" s="24">
        <f>IF('3. Detention'!$AE$7&gt;0.2*($P32),('3. Detention'!$AE$7-0.2*($P32))^2/('3. Detention'!$AE$7+0.8*($P32)),0)</f>
        <v>0.31764935417691842</v>
      </c>
      <c r="N32" s="24">
        <f>IF('3. Detention'!$AJ$7&gt;0.2*($P32),('3. Detention'!$AJ$7-0.2*($P32))^2/('3. Detention'!$AJ$7+0.8*($P32)),0)</f>
        <v>1.4723641594530894</v>
      </c>
      <c r="O32" s="61">
        <f t="shared" si="1"/>
        <v>40.70000000000001</v>
      </c>
      <c r="P32" s="24">
        <f t="shared" si="0"/>
        <v>14.570024570024565</v>
      </c>
    </row>
    <row r="33" spans="4:16" x14ac:dyDescent="0.3">
      <c r="D33" s="2">
        <v>33</v>
      </c>
      <c r="L33" s="24">
        <f>IF('3. Detention'!$Z$7&gt;0.2*($P33),('3. Detention'!$Z$7-0.2*($P33))^2/('3. Detention'!$Z$7+0.8*($P33)),0)</f>
        <v>3.8420986497612148E-3</v>
      </c>
      <c r="M33" s="24">
        <f>IF('3. Detention'!$AE$7&gt;0.2*($P33),('3. Detention'!$AE$7-0.2*($P33))^2/('3. Detention'!$AE$7+0.8*($P33)),0)</f>
        <v>0.32188009744440249</v>
      </c>
      <c r="N33" s="24">
        <f>IF('3. Detention'!$AJ$7&gt;0.2*($P33),('3. Detention'!$AJ$7-0.2*($P33))^2/('3. Detention'!$AJ$7+0.8*($P33)),0)</f>
        <v>1.4824795998175953</v>
      </c>
      <c r="O33" s="61">
        <f t="shared" si="1"/>
        <v>40.800000000000011</v>
      </c>
      <c r="P33" s="24">
        <f t="shared" si="0"/>
        <v>14.509803921568622</v>
      </c>
    </row>
    <row r="34" spans="4:16" x14ac:dyDescent="0.3">
      <c r="D34" s="2">
        <v>34</v>
      </c>
      <c r="L34" s="24">
        <f>IF('3. Detention'!$Z$7&gt;0.2*($P34),('3. Detention'!$Z$7-0.2*($P34))^2/('3. Detention'!$Z$7+0.8*($P34)),0)</f>
        <v>4.2525606418383618E-3</v>
      </c>
      <c r="M34" s="24">
        <f>IF('3. Detention'!$AE$7&gt;0.2*($P34),('3. Detention'!$AE$7-0.2*($P34))^2/('3. Detention'!$AE$7+0.8*($P34)),0)</f>
        <v>0.32613140688015457</v>
      </c>
      <c r="N34" s="24">
        <f>IF('3. Detention'!$AJ$7&gt;0.2*($P34),('3. Detention'!$AJ$7-0.2*($P34))^2/('3. Detention'!$AJ$7+0.8*($P34)),0)</f>
        <v>1.4926086673700043</v>
      </c>
      <c r="O34" s="61">
        <f t="shared" si="1"/>
        <v>40.900000000000013</v>
      </c>
      <c r="P34" s="24">
        <f t="shared" si="0"/>
        <v>14.44987775061124</v>
      </c>
    </row>
    <row r="35" spans="4:16" x14ac:dyDescent="0.3">
      <c r="D35" s="2">
        <v>35</v>
      </c>
      <c r="L35" s="24">
        <f>IF('3. Detention'!$Z$7&gt;0.2*($P35),('3. Detention'!$Z$7-0.2*($P35))^2/('3. Detention'!$Z$7+0.8*($P35)),0)</f>
        <v>4.6831509431051709E-3</v>
      </c>
      <c r="M35" s="24">
        <f>IF('3. Detention'!$AE$7&gt;0.2*($P35),('3. Detention'!$AE$7-0.2*($P35))^2/('3. Detention'!$AE$7+0.8*($P35)),0)</f>
        <v>0.330403181821251</v>
      </c>
      <c r="N35" s="24">
        <f>IF('3. Detention'!$AJ$7&gt;0.2*($P35),('3. Detention'!$AJ$7-0.2*($P35))^2/('3. Detention'!$AJ$7+0.8*($P35)),0)</f>
        <v>1.5027512545120789</v>
      </c>
      <c r="O35" s="61">
        <f t="shared" si="1"/>
        <v>41.000000000000014</v>
      </c>
      <c r="P35" s="24">
        <f t="shared" si="0"/>
        <v>14.390243902439018</v>
      </c>
    </row>
    <row r="36" spans="4:16" x14ac:dyDescent="0.3">
      <c r="D36" s="3">
        <v>36</v>
      </c>
      <c r="L36" s="24">
        <f>IF('3. Detention'!$Z$7&gt;0.2*($P36),('3. Detention'!$Z$7-0.2*($P36))^2/('3. Detention'!$Z$7+0.8*($P36)),0)</f>
        <v>5.1337762553188239E-3</v>
      </c>
      <c r="M36" s="24">
        <f>IF('3. Detention'!$AE$7&gt;0.2*($P36),('3. Detention'!$AE$7-0.2*($P36))^2/('3. Detention'!$AE$7+0.8*($P36)),0)</f>
        <v>0.33469532266471275</v>
      </c>
      <c r="N36" s="24">
        <f>IF('3. Detention'!$AJ$7&gt;0.2*($P36),('3. Detention'!$AJ$7-0.2*($P36))^2/('3. Detention'!$AJ$7+0.8*($P36)),0)</f>
        <v>1.5129072546940829</v>
      </c>
      <c r="O36" s="61">
        <f t="shared" si="1"/>
        <v>41.100000000000016</v>
      </c>
      <c r="P36" s="24">
        <f t="shared" si="0"/>
        <v>14.330900243308992</v>
      </c>
    </row>
    <row r="37" spans="4:16" x14ac:dyDescent="0.3">
      <c r="D37" s="3">
        <v>37</v>
      </c>
      <c r="L37" s="24">
        <f>IF('3. Detention'!$Z$7&gt;0.2*($P37),('3. Detention'!$Z$7-0.2*($P37))^2/('3. Detention'!$Z$7+0.8*($P37)),0)</f>
        <v>5.6043443594307046E-3</v>
      </c>
      <c r="M37" s="24">
        <f>IF('3. Detention'!$AE$7&gt;0.2*($P37),('3. Detention'!$AE$7-0.2*($P37))^2/('3. Detention'!$AE$7+0.8*($P37)),0)</f>
        <v>0.33900773085480096</v>
      </c>
      <c r="N37" s="24">
        <f>IF('3. Detention'!$AJ$7&gt;0.2*($P37),('3. Detention'!$AJ$7-0.2*($P37))^2/('3. Detention'!$AJ$7+0.8*($P37)),0)</f>
        <v>1.5230765624020504</v>
      </c>
      <c r="O37" s="61">
        <f t="shared" si="1"/>
        <v>41.200000000000017</v>
      </c>
      <c r="P37" s="24">
        <f t="shared" si="0"/>
        <v>14.271844660194166</v>
      </c>
    </row>
    <row r="38" spans="4:16" x14ac:dyDescent="0.3">
      <c r="D38" s="3">
        <v>38</v>
      </c>
      <c r="L38" s="24">
        <f>IF('3. Detention'!$Z$7&gt;0.2*($P38),('3. Detention'!$Z$7-0.2*($P38))^2/('3. Detention'!$Z$7+0.8*($P38)),0)</f>
        <v>6.0947641032227844E-3</v>
      </c>
      <c r="M38" s="24">
        <f>IF('3. Detention'!$AE$7&gt;0.2*($P38),('3. Detention'!$AE$7-0.2*($P38))^2/('3. Detention'!$AE$7+0.8*($P38)),0)</f>
        <v>0.3433403088705031</v>
      </c>
      <c r="N38" s="24">
        <f>IF('3. Detention'!$AJ$7&gt;0.2*($P38),('3. Detention'!$AJ$7-0.2*($P38))^2/('3. Detention'!$AJ$7+0.8*($P38)),0)</f>
        <v>1.5332590731452538</v>
      </c>
      <c r="O38" s="61">
        <f t="shared" si="1"/>
        <v>41.300000000000018</v>
      </c>
      <c r="P38" s="24">
        <f t="shared" si="0"/>
        <v>14.213075060532677</v>
      </c>
    </row>
    <row r="39" spans="4:16" x14ac:dyDescent="0.3">
      <c r="D39" s="3">
        <v>39</v>
      </c>
      <c r="L39" s="24">
        <f>IF('3. Detention'!$Z$7&gt;0.2*($P39),('3. Detention'!$Z$7-0.2*($P39))^2/('3. Detention'!$Z$7+0.8*($P39)),0)</f>
        <v>6.6049453891260127E-3</v>
      </c>
      <c r="M39" s="24">
        <f>IF('3. Detention'!$AE$7&gt;0.2*($P39),('3. Detention'!$AE$7-0.2*($P39))^2/('3. Detention'!$AE$7+0.8*($P39)),0)</f>
        <v>0.34769296021319551</v>
      </c>
      <c r="N39" s="24">
        <f>IF('3. Detention'!$AJ$7&gt;0.2*($P39),('3. Detention'!$AJ$7-0.2*($P39))^2/('3. Detention'!$AJ$7+0.8*($P39)),0)</f>
        <v>1.5434546834438407</v>
      </c>
      <c r="O39" s="61">
        <f t="shared" si="1"/>
        <v>41.40000000000002</v>
      </c>
      <c r="P39" s="24">
        <f t="shared" si="0"/>
        <v>14.154589371980666</v>
      </c>
    </row>
    <row r="40" spans="4:16" x14ac:dyDescent="0.3">
      <c r="D40" s="3">
        <v>40</v>
      </c>
      <c r="L40" s="24">
        <f>IF('3. Detention'!$Z$7&gt;0.2*($P40),('3. Detention'!$Z$7-0.2*($P40))^2/('3. Detention'!$Z$7+0.8*($P40)),0)</f>
        <v>7.1347991622186715E-3</v>
      </c>
      <c r="M40" s="24">
        <f>IF('3. Detention'!$AE$7&gt;0.2*($P40),('3. Detention'!$AE$7-0.2*($P40))^2/('3. Detention'!$AE$7+0.8*($P40)),0)</f>
        <v>0.3520655893944889</v>
      </c>
      <c r="N40" s="24">
        <f>IF('3. Detention'!$AJ$7&gt;0.2*($P40),('3. Detention'!$AJ$7-0.2*($P40))^2/('3. Detention'!$AJ$7+0.8*($P40)),0)</f>
        <v>1.5536632908166568</v>
      </c>
      <c r="O40" s="61">
        <f t="shared" si="1"/>
        <v>41.500000000000021</v>
      </c>
      <c r="P40" s="24">
        <f t="shared" si="0"/>
        <v>14.096385542168662</v>
      </c>
    </row>
    <row r="41" spans="4:16" x14ac:dyDescent="0.3">
      <c r="D41" s="2">
        <v>41</v>
      </c>
      <c r="L41" s="24">
        <f>IF('3. Detention'!$Z$7&gt;0.2*($P41),('3. Detention'!$Z$7-0.2*($P41))^2/('3. Detention'!$Z$7+0.8*($P41)),0)</f>
        <v>7.6842373984008869E-3</v>
      </c>
      <c r="M41" s="24">
        <f>IF('3. Detention'!$AE$7&gt;0.2*($P41),('3. Detention'!$AE$7-0.2*($P41))^2/('3. Detention'!$AE$7+0.8*($P41)),0)</f>
        <v>0.35645810192424621</v>
      </c>
      <c r="N41" s="24">
        <f>IF('3. Detention'!$AJ$7&gt;0.2*($P41),('3. Detention'!$AJ$7-0.2*($P41))^2/('3. Detention'!$AJ$7+0.8*($P41)),0)</f>
        <v>1.5638847937692391</v>
      </c>
      <c r="O41" s="61">
        <f t="shared" si="1"/>
        <v>41.600000000000023</v>
      </c>
      <c r="P41" s="24">
        <f t="shared" si="0"/>
        <v>14.038461538461526</v>
      </c>
    </row>
    <row r="42" spans="4:16" x14ac:dyDescent="0.3">
      <c r="D42" s="2">
        <v>42</v>
      </c>
      <c r="L42" s="24">
        <f>IF('3. Detention'!$Z$7&gt;0.2*($P42),('3. Detention'!$Z$7-0.2*($P42))^2/('3. Detention'!$Z$7+0.8*($P42)),0)</f>
        <v>8.2531730927431161E-3</v>
      </c>
      <c r="M42" s="24">
        <f>IF('3. Detention'!$AE$7&gt;0.2*($P42),('3. Detention'!$AE$7-0.2*($P42))^2/('3. Detention'!$AE$7+0.8*($P42)),0)</f>
        <v>0.36087040429877626</v>
      </c>
      <c r="N42" s="24">
        <f>IF('3. Detention'!$AJ$7&gt;0.2*($P42),('3. Detention'!$AJ$7-0.2*($P42))^2/('3. Detention'!$AJ$7+0.8*($P42)),0)</f>
        <v>1.5741190917819874</v>
      </c>
      <c r="O42" s="61">
        <f t="shared" si="1"/>
        <v>41.700000000000024</v>
      </c>
      <c r="P42" s="24">
        <f t="shared" si="0"/>
        <v>13.980815347721808</v>
      </c>
    </row>
    <row r="43" spans="4:16" x14ac:dyDescent="0.3">
      <c r="D43" s="2">
        <v>43</v>
      </c>
      <c r="L43" s="24">
        <f>IF('3. Detention'!$Z$7&gt;0.2*($P43),('3. Detention'!$Z$7-0.2*($P43))^2/('3. Detention'!$Z$7+0.8*($P43)),0)</f>
        <v>8.84152024800503E-3</v>
      </c>
      <c r="M43" s="24">
        <f>IF('3. Detention'!$AE$7&gt;0.2*($P43),('3. Detention'!$AE$7-0.2*($P43))^2/('3. Detention'!$AE$7+0.8*($P43)),0)</f>
        <v>0.36530240398919506</v>
      </c>
      <c r="N43" s="24">
        <f>IF('3. Detention'!$AJ$7&gt;0.2*($P43),('3. Detention'!$AJ$7-0.2*($P43))^2/('3. Detention'!$AJ$7+0.8*($P43)),0)</f>
        <v>1.5843660852985024</v>
      </c>
      <c r="O43" s="61">
        <f t="shared" si="1"/>
        <v>41.800000000000026</v>
      </c>
      <c r="P43" s="24">
        <f t="shared" si="0"/>
        <v>13.923444976076539</v>
      </c>
    </row>
    <row r="44" spans="4:16" x14ac:dyDescent="0.3">
      <c r="D44" s="3">
        <v>44</v>
      </c>
      <c r="L44" s="24">
        <f>IF('3. Detention'!$Z$7&gt;0.2*($P44),('3. Detention'!$Z$7-0.2*($P44))^2/('3. Detention'!$Z$7+0.8*($P44)),0)</f>
        <v>9.4491938633223908E-3</v>
      </c>
      <c r="M44" s="24">
        <f>IF('3. Detention'!$AE$7&gt;0.2*($P44),('3. Detention'!$AE$7-0.2*($P44))^2/('3. Detention'!$AE$7+0.8*($P44)),0)</f>
        <v>0.36975400942995457</v>
      </c>
      <c r="N44" s="24">
        <f>IF('3. Detention'!$AJ$7&gt;0.2*($P44),('3. Detention'!$AJ$7-0.2*($P44))^2/('3. Detention'!$AJ$7+0.8*($P44)),0)</f>
        <v>1.5946256757140911</v>
      </c>
      <c r="O44" s="61">
        <f t="shared" si="1"/>
        <v>41.900000000000027</v>
      </c>
      <c r="P44" s="24">
        <f t="shared" si="0"/>
        <v>13.866348448687337</v>
      </c>
    </row>
    <row r="45" spans="4:16" x14ac:dyDescent="0.3">
      <c r="D45" s="3">
        <v>45</v>
      </c>
      <c r="L45" s="24">
        <f>IF('3. Detention'!$Z$7&gt;0.2*($P45),('3. Detention'!$Z$7-0.2*($P45))^2/('3. Detention'!$Z$7+0.8*($P45)),0)</f>
        <v>1.0076109923059157E-2</v>
      </c>
      <c r="M45" s="24">
        <f>IF('3. Detention'!$AE$7&gt;0.2*($P45),('3. Detention'!$AE$7-0.2*($P45))^2/('3. Detention'!$AE$7+0.8*($P45)),0)</f>
        <v>0.37422513000753788</v>
      </c>
      <c r="N45" s="24">
        <f>IF('3. Detention'!$AJ$7&gt;0.2*($P45),('3. Detention'!$AJ$7-0.2*($P45))^2/('3. Detention'!$AJ$7+0.8*($P45)),0)</f>
        <v>1.6048977653644378</v>
      </c>
      <c r="O45" s="61">
        <f t="shared" si="1"/>
        <v>42.000000000000028</v>
      </c>
      <c r="P45" s="24">
        <f t="shared" si="0"/>
        <v>13.809523809523792</v>
      </c>
    </row>
    <row r="46" spans="4:16" x14ac:dyDescent="0.3">
      <c r="D46" s="3">
        <v>46</v>
      </c>
      <c r="L46" s="24">
        <f>IF('3. Detention'!$Z$7&gt;0.2*($P46),('3. Detention'!$Z$7-0.2*($P46))^2/('3. Detention'!$Z$7+0.8*($P46)),0)</f>
        <v>6.0947641032227844E-3</v>
      </c>
      <c r="M46" s="24">
        <f>IF('3. Detention'!$AE$7&gt;0.2*($P46),('3. Detention'!$AE$7-0.2*($P46))^2/('3. Detention'!$AE$7+0.8*($P46)),0)</f>
        <v>0.3433403088705031</v>
      </c>
      <c r="N46" s="24">
        <f>IF('3. Detention'!$AJ$7&gt;0.2*($P46),('3. Detention'!$AJ$7-0.2*($P46))^2/('3. Detention'!$AJ$7+0.8*($P46)),0)</f>
        <v>1.5332590731452538</v>
      </c>
      <c r="O46" s="61">
        <f>O37+0.1</f>
        <v>41.300000000000018</v>
      </c>
      <c r="P46" s="24">
        <f t="shared" si="0"/>
        <v>14.213075060532677</v>
      </c>
    </row>
    <row r="47" spans="4:16" x14ac:dyDescent="0.3">
      <c r="D47" s="3">
        <v>47</v>
      </c>
      <c r="L47" s="24">
        <f>IF('3. Detention'!$Z$7&gt;0.2*($P47),('3. Detention'!$Z$7-0.2*($P47))^2/('3. Detention'!$Z$7+0.8*($P47)),0)</f>
        <v>6.6049453891260127E-3</v>
      </c>
      <c r="M47" s="24">
        <f>IF('3. Detention'!$AE$7&gt;0.2*($P47),('3. Detention'!$AE$7-0.2*($P47))^2/('3. Detention'!$AE$7+0.8*($P47)),0)</f>
        <v>0.34769296021319551</v>
      </c>
      <c r="N47" s="24">
        <f>IF('3. Detention'!$AJ$7&gt;0.2*($P47),('3. Detention'!$AJ$7-0.2*($P47))^2/('3. Detention'!$AJ$7+0.8*($P47)),0)</f>
        <v>1.5434546834438407</v>
      </c>
      <c r="O47" s="61">
        <f t="shared" si="1"/>
        <v>41.40000000000002</v>
      </c>
      <c r="P47" s="24">
        <f t="shared" si="0"/>
        <v>14.154589371980666</v>
      </c>
    </row>
    <row r="48" spans="4:16" x14ac:dyDescent="0.3">
      <c r="D48" s="3">
        <v>48</v>
      </c>
      <c r="L48" s="24">
        <f>IF('3. Detention'!$Z$7&gt;0.2*($P48),('3. Detention'!$Z$7-0.2*($P48))^2/('3. Detention'!$Z$7+0.8*($P48)),0)</f>
        <v>7.1347991622186715E-3</v>
      </c>
      <c r="M48" s="24">
        <f>IF('3. Detention'!$AE$7&gt;0.2*($P48),('3. Detention'!$AE$7-0.2*($P48))^2/('3. Detention'!$AE$7+0.8*($P48)),0)</f>
        <v>0.3520655893944889</v>
      </c>
      <c r="N48" s="24">
        <f>IF('3. Detention'!$AJ$7&gt;0.2*($P48),('3. Detention'!$AJ$7-0.2*($P48))^2/('3. Detention'!$AJ$7+0.8*($P48)),0)</f>
        <v>1.5536632908166568</v>
      </c>
      <c r="O48" s="61">
        <f t="shared" si="1"/>
        <v>41.500000000000021</v>
      </c>
      <c r="P48" s="24">
        <f t="shared" si="0"/>
        <v>14.096385542168662</v>
      </c>
    </row>
    <row r="49" spans="4:16" x14ac:dyDescent="0.3">
      <c r="D49" s="2">
        <v>49</v>
      </c>
      <c r="L49" s="24">
        <f>IF('3. Detention'!$Z$7&gt;0.2*($P49),('3. Detention'!$Z$7-0.2*($P49))^2/('3. Detention'!$Z$7+0.8*($P49)),0)</f>
        <v>7.6842373984008869E-3</v>
      </c>
      <c r="M49" s="24">
        <f>IF('3. Detention'!$AE$7&gt;0.2*($P49),('3. Detention'!$AE$7-0.2*($P49))^2/('3. Detention'!$AE$7+0.8*($P49)),0)</f>
        <v>0.35645810192424621</v>
      </c>
      <c r="N49" s="24">
        <f>IF('3. Detention'!$AJ$7&gt;0.2*($P49),('3. Detention'!$AJ$7-0.2*($P49))^2/('3. Detention'!$AJ$7+0.8*($P49)),0)</f>
        <v>1.5638847937692391</v>
      </c>
      <c r="O49" s="61">
        <f t="shared" si="1"/>
        <v>41.600000000000023</v>
      </c>
      <c r="P49" s="24">
        <f t="shared" si="0"/>
        <v>14.038461538461526</v>
      </c>
    </row>
    <row r="50" spans="4:16" x14ac:dyDescent="0.3">
      <c r="D50" s="2">
        <v>50</v>
      </c>
      <c r="L50" s="24">
        <f>IF('3. Detention'!$Z$7&gt;0.2*($P50),('3. Detention'!$Z$7-0.2*($P50))^2/('3. Detention'!$Z$7+0.8*($P50)),0)</f>
        <v>8.2531730927431161E-3</v>
      </c>
      <c r="M50" s="24">
        <f>IF('3. Detention'!$AE$7&gt;0.2*($P50),('3. Detention'!$AE$7-0.2*($P50))^2/('3. Detention'!$AE$7+0.8*($P50)),0)</f>
        <v>0.36087040429877626</v>
      </c>
      <c r="N50" s="24">
        <f>IF('3. Detention'!$AJ$7&gt;0.2*($P50),('3. Detention'!$AJ$7-0.2*($P50))^2/('3. Detention'!$AJ$7+0.8*($P50)),0)</f>
        <v>1.5741190917819874</v>
      </c>
      <c r="O50" s="61">
        <f t="shared" si="1"/>
        <v>41.700000000000024</v>
      </c>
      <c r="P50" s="24">
        <f t="shared" si="0"/>
        <v>13.980815347721808</v>
      </c>
    </row>
    <row r="51" spans="4:16" x14ac:dyDescent="0.3">
      <c r="D51" s="2">
        <v>51</v>
      </c>
      <c r="L51" s="24">
        <f>IF('3. Detention'!$Z$7&gt;0.2*($P51),('3. Detention'!$Z$7-0.2*($P51))^2/('3. Detention'!$Z$7+0.8*($P51)),0)</f>
        <v>8.84152024800503E-3</v>
      </c>
      <c r="M51" s="24">
        <f>IF('3. Detention'!$AE$7&gt;0.2*($P51),('3. Detention'!$AE$7-0.2*($P51))^2/('3. Detention'!$AE$7+0.8*($P51)),0)</f>
        <v>0.36530240398919506</v>
      </c>
      <c r="N51" s="24">
        <f>IF('3. Detention'!$AJ$7&gt;0.2*($P51),('3. Detention'!$AJ$7-0.2*($P51))^2/('3. Detention'!$AJ$7+0.8*($P51)),0)</f>
        <v>1.5843660852985024</v>
      </c>
      <c r="O51" s="61">
        <f t="shared" si="1"/>
        <v>41.800000000000026</v>
      </c>
      <c r="P51" s="24">
        <f t="shared" si="0"/>
        <v>13.923444976076539</v>
      </c>
    </row>
    <row r="52" spans="4:16" x14ac:dyDescent="0.3">
      <c r="D52" s="2">
        <v>52</v>
      </c>
      <c r="L52" s="24">
        <f>IF('3. Detention'!$Z$7&gt;0.2*($P52),('3. Detention'!$Z$7-0.2*($P52))^2/('3. Detention'!$Z$7+0.8*($P52)),0)</f>
        <v>9.4491938633223908E-3</v>
      </c>
      <c r="M52" s="24">
        <f>IF('3. Detention'!$AE$7&gt;0.2*($P52),('3. Detention'!$AE$7-0.2*($P52))^2/('3. Detention'!$AE$7+0.8*($P52)),0)</f>
        <v>0.36975400942995457</v>
      </c>
      <c r="N52" s="24">
        <f>IF('3. Detention'!$AJ$7&gt;0.2*($P52),('3. Detention'!$AJ$7-0.2*($P52))^2/('3. Detention'!$AJ$7+0.8*($P52)),0)</f>
        <v>1.5946256757140911</v>
      </c>
      <c r="O52" s="61">
        <f t="shared" si="1"/>
        <v>41.900000000000027</v>
      </c>
      <c r="P52" s="24">
        <f t="shared" si="0"/>
        <v>13.866348448687337</v>
      </c>
    </row>
    <row r="53" spans="4:16" x14ac:dyDescent="0.3">
      <c r="D53" s="2">
        <v>53</v>
      </c>
      <c r="L53" s="24">
        <f>IF('3. Detention'!$Z$7&gt;0.2*($P53),('3. Detention'!$Z$7-0.2*($P53))^2/('3. Detention'!$Z$7+0.8*($P53)),0)</f>
        <v>1.0076109923059157E-2</v>
      </c>
      <c r="M53" s="24">
        <f>IF('3. Detention'!$AE$7&gt;0.2*($P53),('3. Detention'!$AE$7-0.2*($P53))^2/('3. Detention'!$AE$7+0.8*($P53)),0)</f>
        <v>0.37422513000753788</v>
      </c>
      <c r="N53" s="24">
        <f>IF('3. Detention'!$AJ$7&gt;0.2*($P53),('3. Detention'!$AJ$7-0.2*($P53))^2/('3. Detention'!$AJ$7+0.8*($P53)),0)</f>
        <v>1.6048977653644378</v>
      </c>
      <c r="O53" s="61">
        <f t="shared" si="1"/>
        <v>42.000000000000028</v>
      </c>
      <c r="P53" s="24">
        <f t="shared" si="0"/>
        <v>13.809523809523792</v>
      </c>
    </row>
    <row r="54" spans="4:16" x14ac:dyDescent="0.3">
      <c r="D54" s="2">
        <v>54</v>
      </c>
      <c r="L54" s="24">
        <f>IF('3. Detention'!$Z$7&gt;0.2*($P54),('3. Detention'!$Z$7-0.2*($P54))^2/('3. Detention'!$Z$7+0.8*($P54)),0)</f>
        <v>1.0722185385821519E-2</v>
      </c>
      <c r="M54" s="24">
        <f>IF('3. Detention'!$AE$7&gt;0.2*($P54),('3. Detention'!$AE$7-0.2*($P54))^2/('3. Detention'!$AE$7+0.8*($P54)),0)</f>
        <v>0.3787156760493115</v>
      </c>
      <c r="N54" s="24">
        <f>IF('3. Detention'!$AJ$7&gt;0.2*($P54),('3. Detention'!$AJ$7-0.2*($P54))^2/('3. Detention'!$AJ$7+0.8*($P54)),0)</f>
        <v>1.6151822575144332</v>
      </c>
      <c r="O54" s="61">
        <f>O45+0.1</f>
        <v>42.10000000000003</v>
      </c>
      <c r="P54" s="24">
        <f t="shared" si="0"/>
        <v>13.752969121140126</v>
      </c>
    </row>
    <row r="55" spans="4:16" x14ac:dyDescent="0.3">
      <c r="D55" s="2">
        <v>55</v>
      </c>
      <c r="L55" s="24">
        <f>IF('3. Detention'!$Z$7&gt;0.2*($P55),('3. Detention'!$Z$7-0.2*($P55))^2/('3. Detention'!$Z$7+0.8*($P55)),0)</f>
        <v>1.1387338173632192E-2</v>
      </c>
      <c r="M55" s="24">
        <f>IF('3. Detention'!$AE$7&gt;0.2*($P55),('3. Detention'!$AE$7-0.2*($P55))^2/('3. Detention'!$AE$7+0.8*($P55)),0)</f>
        <v>0.38322555881254167</v>
      </c>
      <c r="N55" s="24">
        <f>IF('3. Detention'!$AJ$7&gt;0.2*($P55),('3. Detention'!$AJ$7-0.2*($P55))^2/('3. Detention'!$AJ$7+0.8*($P55)),0)</f>
        <v>1.6254790563471655</v>
      </c>
      <c r="O55" s="61">
        <f t="shared" si="1"/>
        <v>42.200000000000031</v>
      </c>
      <c r="P55" s="24">
        <f t="shared" si="0"/>
        <v>13.696682464454959</v>
      </c>
    </row>
    <row r="56" spans="4:16" x14ac:dyDescent="0.3">
      <c r="D56" s="2">
        <v>56</v>
      </c>
      <c r="L56" s="24">
        <f>IF('3. Detention'!$Z$7&gt;0.2*($P56),('3. Detention'!$Z$7-0.2*($P56))^2/('3. Detention'!$Z$7+0.8*($P56)),0)</f>
        <v>1.2071487161261338E-2</v>
      </c>
      <c r="M56" s="24">
        <f>IF('3. Detention'!$AE$7&gt;0.2*($P56),('3. Detention'!$AE$7-0.2*($P56))^2/('3. Detention'!$AE$7+0.8*($P56)),0)</f>
        <v>0.38775469047356242</v>
      </c>
      <c r="N56" s="24">
        <f>IF('3. Detention'!$AJ$7&gt;0.2*($P56),('3. Detention'!$AJ$7-0.2*($P56))^2/('3. Detention'!$AJ$7+0.8*($P56)),0)</f>
        <v>1.6357880669530684</v>
      </c>
      <c r="O56" s="61">
        <f t="shared" si="1"/>
        <v>42.300000000000033</v>
      </c>
      <c r="P56" s="24">
        <f t="shared" si="0"/>
        <v>13.640661938534262</v>
      </c>
    </row>
    <row r="57" spans="4:16" x14ac:dyDescent="0.3">
      <c r="D57" s="2">
        <v>57</v>
      </c>
      <c r="L57" s="24">
        <f>IF('3. Detention'!$Z$7&gt;0.2*($P57),('3. Detention'!$Z$7-0.2*($P57))^2/('3. Detention'!$Z$7+0.8*($P57)),0)</f>
        <v>1.2774552165712246E-2</v>
      </c>
      <c r="M57" s="24">
        <f>IF('3. Detention'!$AE$7&gt;0.2*($P57),('3. Detention'!$AE$7-0.2*($P57))^2/('3. Detention'!$AE$7+0.8*($P57)),0)</f>
        <v>0.39230298411710068</v>
      </c>
      <c r="N57" s="24">
        <f>IF('3. Detention'!$AJ$7&gt;0.2*($P57),('3. Detention'!$AJ$7-0.2*($P57))^2/('3. Detention'!$AJ$7+0.8*($P57)),0)</f>
        <v>1.6461091953192186</v>
      </c>
      <c r="O57" s="61">
        <f t="shared" si="1"/>
        <v>42.400000000000034</v>
      </c>
      <c r="P57" s="24">
        <f t="shared" si="0"/>
        <v>13.584905660377341</v>
      </c>
    </row>
    <row r="58" spans="4:16" x14ac:dyDescent="0.3">
      <c r="D58" s="2">
        <v>58</v>
      </c>
      <c r="L58" s="24">
        <f>IF('3. Detention'!$Z$7&gt;0.2*($P58),('3. Detention'!$Z$7-0.2*($P58))^2/('3. Detention'!$Z$7+0.8*($P58)),0)</f>
        <v>1.3496453935858875E-2</v>
      </c>
      <c r="M58" s="24">
        <f>IF('3. Detention'!$AE$7&gt;0.2*($P58),('3. Detention'!$AE$7-0.2*($P58))^2/('3. Detention'!$AE$7+0.8*($P58)),0)</f>
        <v>0.39687035372575052</v>
      </c>
      <c r="N58" s="24">
        <f>IF('3. Detention'!$AJ$7&gt;0.2*($P58),('3. Detention'!$AJ$7-0.2*($P58))^2/('3. Detention'!$AJ$7+0.8*($P58)),0)</f>
        <v>1.6564423483187898</v>
      </c>
      <c r="O58" s="61">
        <f t="shared" si="1"/>
        <v>42.500000000000036</v>
      </c>
      <c r="P58" s="24">
        <f t="shared" si="0"/>
        <v>13.529411764705863</v>
      </c>
    </row>
    <row r="59" spans="4:16" x14ac:dyDescent="0.3">
      <c r="D59" s="2">
        <v>59</v>
      </c>
      <c r="L59" s="24">
        <f>IF('3. Detention'!$Z$7&gt;0.2*($P59),('3. Detention'!$Z$7-0.2*($P59))^2/('3. Detention'!$Z$7+0.8*($P59)),0)</f>
        <v>1.4237114142232775E-2</v>
      </c>
      <c r="M59" s="24">
        <f>IF('3. Detention'!$AE$7&gt;0.2*($P59),('3. Detention'!$AE$7-0.2*($P59))^2/('3. Detention'!$AE$7+0.8*($P59)),0)</f>
        <v>0.40145671416959577</v>
      </c>
      <c r="N59" s="24">
        <f>IF('3. Detention'!$AJ$7&gt;0.2*($P59),('3. Detention'!$AJ$7-0.2*($P59))^2/('3. Detention'!$AJ$7+0.8*($P59)),0)</f>
        <v>1.6667874337006472</v>
      </c>
      <c r="O59" s="61">
        <f t="shared" si="1"/>
        <v>42.600000000000037</v>
      </c>
      <c r="P59" s="24">
        <f t="shared" si="0"/>
        <v>13.474178403755847</v>
      </c>
    </row>
    <row r="60" spans="4:16" x14ac:dyDescent="0.3">
      <c r="D60" s="2">
        <v>60</v>
      </c>
      <c r="L60" s="24">
        <f>IF('3. Detention'!$Z$7&gt;0.2*($P60),('3. Detention'!$Z$7-0.2*($P60))^2/('3. Detention'!$Z$7+0.8*($P60)),0)</f>
        <v>1.4996455366957319E-2</v>
      </c>
      <c r="M60" s="24">
        <f>IF('3. Detention'!$AE$7&gt;0.2*($P60),('3. Detention'!$AE$7-0.2*($P60))^2/('3. Detention'!$AE$7+0.8*($P60)),0)</f>
        <v>0.40606198119598064</v>
      </c>
      <c r="N60" s="24">
        <f>IF('3. Detention'!$AJ$7&gt;0.2*($P60),('3. Detention'!$AJ$7-0.2*($P60))^2/('3. Detention'!$AJ$7+0.8*($P60)),0)</f>
        <v>1.6771443600790978</v>
      </c>
      <c r="O60" s="61">
        <f t="shared" si="1"/>
        <v>42.700000000000038</v>
      </c>
      <c r="P60" s="24">
        <f t="shared" si="0"/>
        <v>13.419203747072579</v>
      </c>
    </row>
    <row r="61" spans="4:16" x14ac:dyDescent="0.3">
      <c r="D61" s="2">
        <v>61</v>
      </c>
      <c r="L61" s="24">
        <f>IF('3. Detention'!$Z$7&gt;0.2*($P61),('3. Detention'!$Z$7-0.2*($P61))^2/('3. Detention'!$Z$7+0.8*($P61)),0)</f>
        <v>1.5774401093826641E-2</v>
      </c>
      <c r="M61" s="24">
        <f>IF('3. Detention'!$AE$7&gt;0.2*($P61),('3. Detention'!$AE$7-0.2*($P61))^2/('3. Detention'!$AE$7+0.8*($P61)),0)</f>
        <v>0.41068607141942354</v>
      </c>
      <c r="N61" s="24">
        <f>IF('3. Detention'!$AJ$7&gt;0.2*($P61),('3. Detention'!$AJ$7-0.2*($P61))^2/('3. Detention'!$AJ$7+0.8*($P61)),0)</f>
        <v>1.6875130369237807</v>
      </c>
      <c r="O61" s="61">
        <f t="shared" si="1"/>
        <v>42.80000000000004</v>
      </c>
      <c r="P61" s="24">
        <f t="shared" si="0"/>
        <v>13.364485981308391</v>
      </c>
    </row>
    <row r="62" spans="4:16" x14ac:dyDescent="0.3">
      <c r="D62" s="2">
        <v>62</v>
      </c>
      <c r="L62" s="24">
        <f>IF('3. Detention'!$Z$7&gt;0.2*($P62),('3. Detention'!$Z$7-0.2*($P62))^2/('3. Detention'!$Z$7+0.8*($P62)),0)</f>
        <v>1.6570875698526489E-2</v>
      </c>
      <c r="M62" s="24">
        <f>IF('3. Detention'!$AE$7&gt;0.2*($P62),('3. Detention'!$AE$7-0.2*($P62))^2/('3. Detention'!$AE$7+0.8*($P62)),0)</f>
        <v>0.4153289023116708</v>
      </c>
      <c r="N62" s="24">
        <f>IF('3. Detention'!$AJ$7&gt;0.2*($P62),('3. Detention'!$AJ$7-0.2*($P62))^2/('3. Detention'!$AJ$7+0.8*($P62)),0)</f>
        <v>1.6978933745496929</v>
      </c>
      <c r="O62" s="61">
        <f t="shared" si="1"/>
        <v>42.900000000000041</v>
      </c>
      <c r="P62" s="24">
        <f t="shared" si="0"/>
        <v>13.310023310023286</v>
      </c>
    </row>
    <row r="63" spans="4:16" x14ac:dyDescent="0.3">
      <c r="D63" s="2">
        <v>63</v>
      </c>
      <c r="L63" s="24">
        <f>IF('3. Detention'!$Z$7&gt;0.2*($P63),('3. Detention'!$Z$7-0.2*($P63))^2/('3. Detention'!$Z$7+0.8*($P63)),0)</f>
        <v>1.7385804438995425E-2</v>
      </c>
      <c r="M63" s="24">
        <f>IF('3. Detention'!$AE$7&gt;0.2*($P63),('3. Detention'!$AE$7-0.2*($P63))^2/('3. Detention'!$AE$7+0.8*($P63)),0)</f>
        <v>0.41999039219189033</v>
      </c>
      <c r="N63" s="24">
        <f>IF('3. Detention'!$AJ$7&gt;0.2*($P63),('3. Detention'!$AJ$7-0.2*($P63))^2/('3. Detention'!$AJ$7+0.8*($P63)),0)</f>
        <v>1.7082852841073606</v>
      </c>
      <c r="O63" s="61">
        <f t="shared" si="1"/>
        <v>43.000000000000043</v>
      </c>
      <c r="P63" s="24">
        <f t="shared" si="0"/>
        <v>13.255813953488349</v>
      </c>
    </row>
    <row r="64" spans="4:16" x14ac:dyDescent="0.3">
      <c r="D64" s="2">
        <v>64</v>
      </c>
      <c r="L64" s="24">
        <f>IF('3. Detention'!$Z$7&gt;0.2*($P64),('3. Detention'!$Z$7-0.2*($P64))^2/('3. Detention'!$Z$7+0.8*($P64)),0)</f>
        <v>1.8219113445924168E-2</v>
      </c>
      <c r="M64" s="24">
        <f>IF('3. Detention'!$AE$7&gt;0.2*($P64),('3. Detention'!$AE$7-0.2*($P64))^2/('3. Detention'!$AE$7+0.8*($P64)),0)</f>
        <v>0.42467046021700516</v>
      </c>
      <c r="N64" s="24">
        <f>IF('3. Detention'!$AJ$7&gt;0.2*($P64),('3. Detention'!$AJ$7-0.2*($P64))^2/('3. Detention'!$AJ$7+0.8*($P64)),0)</f>
        <v>1.718688677573152</v>
      </c>
      <c r="O64" s="61">
        <f t="shared" si="1"/>
        <v>43.100000000000044</v>
      </c>
      <c r="P64" s="24">
        <f t="shared" si="0"/>
        <v>13.201856148491856</v>
      </c>
    </row>
    <row r="65" spans="4:16" x14ac:dyDescent="0.3">
      <c r="D65" s="2">
        <v>65</v>
      </c>
      <c r="L65" s="24">
        <f>IF('3. Detention'!$Z$7&gt;0.2*($P65),('3. Detention'!$Z$7-0.2*($P65))^2/('3. Detention'!$Z$7+0.8*($P65)),0)</f>
        <v>1.9070729713389686E-2</v>
      </c>
      <c r="M65" s="24">
        <f>IF('3. Detention'!$AE$7&gt;0.2*($P65),('3. Detention'!$AE$7-0.2*($P65))^2/('3. Detention'!$AE$7+0.8*($P65)),0)</f>
        <v>0.42936902637215646</v>
      </c>
      <c r="N65" s="24">
        <f>IF('3. Detention'!$AJ$7&gt;0.2*($P65),('3. Detention'!$AJ$7-0.2*($P65))^2/('3. Detention'!$AJ$7+0.8*($P65)),0)</f>
        <v>1.729103467739711</v>
      </c>
      <c r="O65" s="61">
        <f t="shared" si="1"/>
        <v>43.200000000000045</v>
      </c>
      <c r="P65" s="24">
        <f t="shared" si="0"/>
        <v>13.148148148148124</v>
      </c>
    </row>
    <row r="66" spans="4:16" x14ac:dyDescent="0.3">
      <c r="D66" s="2">
        <v>66</v>
      </c>
      <c r="L66" s="24">
        <f>IF('3. Detention'!$Z$7&gt;0.2*($P66),('3. Detention'!$Z$7-0.2*($P66))^2/('3. Detention'!$Z$7+0.8*($P66)),0)</f>
        <v>1.9940581089623335E-2</v>
      </c>
      <c r="M66" s="24">
        <f>IF('3. Detention'!$AE$7&gt;0.2*($P66),('3. Detention'!$AE$7-0.2*($P66))^2/('3. Detention'!$AE$7+0.8*($P66)),0)</f>
        <v>0.43408601146130232</v>
      </c>
      <c r="N66" s="24">
        <f>IF('3. Detention'!$AJ$7&gt;0.2*($P66),('3. Detention'!$AJ$7-0.2*($P66))^2/('3. Detention'!$AJ$7+0.8*($P66)),0)</f>
        <v>1.7395295682065344</v>
      </c>
      <c r="O66" s="61">
        <f t="shared" si="1"/>
        <v>43.300000000000047</v>
      </c>
      <c r="P66" s="24">
        <f t="shared" si="0"/>
        <v>13.094688221708982</v>
      </c>
    </row>
    <row r="67" spans="4:16" x14ac:dyDescent="0.3">
      <c r="D67" s="2">
        <v>67</v>
      </c>
      <c r="L67" s="24">
        <f>IF('3. Detention'!$Z$7&gt;0.2*($P67),('3. Detention'!$Z$7-0.2*($P67))^2/('3. Detention'!$Z$7+0.8*($P67)),0)</f>
        <v>2.0828596267910175E-2</v>
      </c>
      <c r="M67" s="24">
        <f>IF('3. Detention'!$AE$7&gt;0.2*($P67),('3. Detention'!$AE$7-0.2*($P67))^2/('3. Detention'!$AE$7+0.8*($P67)),0)</f>
        <v>0.43882133709794724</v>
      </c>
      <c r="N67" s="24">
        <f>IF('3. Detention'!$AJ$7&gt;0.2*($P67),('3. Detention'!$AJ$7-0.2*($P67))^2/('3. Detention'!$AJ$7+0.8*($P67)),0)</f>
        <v>1.7499668933706767</v>
      </c>
      <c r="O67" s="61">
        <f t="shared" si="1"/>
        <v>43.400000000000048</v>
      </c>
      <c r="P67" s="24">
        <f t="shared" si="0"/>
        <v>13.041474654377854</v>
      </c>
    </row>
    <row r="68" spans="4:16" x14ac:dyDescent="0.3">
      <c r="D68" s="2">
        <v>68</v>
      </c>
      <c r="L68" s="24">
        <f>IF('3. Detention'!$Z$7&gt;0.2*($P68),('3. Detention'!$Z$7-0.2*($P68))^2/('3. Detention'!$Z$7+0.8*($P68)),0)</f>
        <v>1.4996455366957319E-2</v>
      </c>
      <c r="M68" s="24">
        <f>IF('3. Detention'!$AE$7&gt;0.2*($P68),('3. Detention'!$AE$7-0.2*($P68))^2/('3. Detention'!$AE$7+0.8*($P68)),0)</f>
        <v>0.40606198119598064</v>
      </c>
      <c r="N68" s="24">
        <f>IF('3. Detention'!$AJ$7&gt;0.2*($P68),('3. Detention'!$AJ$7-0.2*($P68))^2/('3. Detention'!$AJ$7+0.8*($P68)),0)</f>
        <v>1.6771443600790978</v>
      </c>
      <c r="O68" s="61">
        <f>O59+0.1</f>
        <v>42.700000000000038</v>
      </c>
      <c r="P68" s="24">
        <f t="shared" si="0"/>
        <v>13.419203747072579</v>
      </c>
    </row>
    <row r="69" spans="4:16" x14ac:dyDescent="0.3">
      <c r="D69" s="2">
        <v>69</v>
      </c>
      <c r="L69" s="24">
        <f>IF('3. Detention'!$Z$7&gt;0.2*($P69),('3. Detention'!$Z$7-0.2*($P69))^2/('3. Detention'!$Z$7+0.8*($P69)),0)</f>
        <v>1.5774401093826641E-2</v>
      </c>
      <c r="M69" s="24">
        <f>IF('3. Detention'!$AE$7&gt;0.2*($P69),('3. Detention'!$AE$7-0.2*($P69))^2/('3. Detention'!$AE$7+0.8*($P69)),0)</f>
        <v>0.41068607141942354</v>
      </c>
      <c r="N69" s="24">
        <f>IF('3. Detention'!$AJ$7&gt;0.2*($P69),('3. Detention'!$AJ$7-0.2*($P69))^2/('3. Detention'!$AJ$7+0.8*($P69)),0)</f>
        <v>1.6875130369237807</v>
      </c>
      <c r="O69" s="61">
        <f t="shared" si="1"/>
        <v>42.80000000000004</v>
      </c>
      <c r="P69" s="24">
        <f t="shared" si="0"/>
        <v>13.364485981308391</v>
      </c>
    </row>
    <row r="70" spans="4:16" x14ac:dyDescent="0.3">
      <c r="D70" s="2">
        <v>70</v>
      </c>
      <c r="L70" s="24">
        <f>IF('3. Detention'!$Z$7&gt;0.2*($P70),('3. Detention'!$Z$7-0.2*($P70))^2/('3. Detention'!$Z$7+0.8*($P70)),0)</f>
        <v>1.6570875698526489E-2</v>
      </c>
      <c r="M70" s="24">
        <f>IF('3. Detention'!$AE$7&gt;0.2*($P70),('3. Detention'!$AE$7-0.2*($P70))^2/('3. Detention'!$AE$7+0.8*($P70)),0)</f>
        <v>0.4153289023116708</v>
      </c>
      <c r="N70" s="24">
        <f>IF('3. Detention'!$AJ$7&gt;0.2*($P70),('3. Detention'!$AJ$7-0.2*($P70))^2/('3. Detention'!$AJ$7+0.8*($P70)),0)</f>
        <v>1.6978933745496929</v>
      </c>
      <c r="O70" s="61">
        <f t="shared" si="1"/>
        <v>42.900000000000041</v>
      </c>
      <c r="P70" s="24">
        <f t="shared" si="0"/>
        <v>13.310023310023286</v>
      </c>
    </row>
    <row r="71" spans="4:16" x14ac:dyDescent="0.3">
      <c r="D71" s="2">
        <v>71</v>
      </c>
      <c r="L71" s="24">
        <f>IF('3. Detention'!$Z$7&gt;0.2*($P71),('3. Detention'!$Z$7-0.2*($P71))^2/('3. Detention'!$Z$7+0.8*($P71)),0)</f>
        <v>1.7385804438995425E-2</v>
      </c>
      <c r="M71" s="24">
        <f>IF('3. Detention'!$AE$7&gt;0.2*($P71),('3. Detention'!$AE$7-0.2*($P71))^2/('3. Detention'!$AE$7+0.8*($P71)),0)</f>
        <v>0.41999039219189033</v>
      </c>
      <c r="N71" s="24">
        <f>IF('3. Detention'!$AJ$7&gt;0.2*($P71),('3. Detention'!$AJ$7-0.2*($P71))^2/('3. Detention'!$AJ$7+0.8*($P71)),0)</f>
        <v>1.7082852841073606</v>
      </c>
      <c r="O71" s="61">
        <f t="shared" si="1"/>
        <v>43.000000000000043</v>
      </c>
      <c r="P71" s="24">
        <f t="shared" si="0"/>
        <v>13.255813953488349</v>
      </c>
    </row>
    <row r="72" spans="4:16" x14ac:dyDescent="0.3">
      <c r="D72" s="2">
        <v>72</v>
      </c>
      <c r="L72" s="24">
        <f>IF('3. Detention'!$Z$7&gt;0.2*($P72),('3. Detention'!$Z$7-0.2*($P72))^2/('3. Detention'!$Z$7+0.8*($P72)),0)</f>
        <v>1.8219113445924168E-2</v>
      </c>
      <c r="M72" s="24">
        <f>IF('3. Detention'!$AE$7&gt;0.2*($P72),('3. Detention'!$AE$7-0.2*($P72))^2/('3. Detention'!$AE$7+0.8*($P72)),0)</f>
        <v>0.42467046021700516</v>
      </c>
      <c r="N72" s="24">
        <f>IF('3. Detention'!$AJ$7&gt;0.2*($P72),('3. Detention'!$AJ$7-0.2*($P72))^2/('3. Detention'!$AJ$7+0.8*($P72)),0)</f>
        <v>1.718688677573152</v>
      </c>
      <c r="O72" s="61">
        <f t="shared" si="1"/>
        <v>43.100000000000044</v>
      </c>
      <c r="P72" s="24">
        <f t="shared" si="0"/>
        <v>13.201856148491856</v>
      </c>
    </row>
    <row r="73" spans="4:16" x14ac:dyDescent="0.3">
      <c r="D73" s="2">
        <v>73</v>
      </c>
      <c r="L73" s="24">
        <f>IF('3. Detention'!$Z$7&gt;0.2*($P73),('3. Detention'!$Z$7-0.2*($P73))^2/('3. Detention'!$Z$7+0.8*($P73)),0)</f>
        <v>1.9070729713389686E-2</v>
      </c>
      <c r="M73" s="24">
        <f>IF('3. Detention'!$AE$7&gt;0.2*($P73),('3. Detention'!$AE$7-0.2*($P73))^2/('3. Detention'!$AE$7+0.8*($P73)),0)</f>
        <v>0.42936902637215646</v>
      </c>
      <c r="N73" s="24">
        <f>IF('3. Detention'!$AJ$7&gt;0.2*($P73),('3. Detention'!$AJ$7-0.2*($P73))^2/('3. Detention'!$AJ$7+0.8*($P73)),0)</f>
        <v>1.729103467739711</v>
      </c>
      <c r="O73" s="61">
        <f t="shared" si="1"/>
        <v>43.200000000000045</v>
      </c>
      <c r="P73" s="24">
        <f t="shared" si="0"/>
        <v>13.148148148148124</v>
      </c>
    </row>
    <row r="74" spans="4:16" x14ac:dyDescent="0.3">
      <c r="D74" s="2">
        <v>74</v>
      </c>
      <c r="L74" s="24">
        <f>IF('3. Detention'!$Z$7&gt;0.2*($P74),('3. Detention'!$Z$7-0.2*($P74))^2/('3. Detention'!$Z$7+0.8*($P74)),0)</f>
        <v>1.9940581089623335E-2</v>
      </c>
      <c r="M74" s="24">
        <f>IF('3. Detention'!$AE$7&gt;0.2*($P74),('3. Detention'!$AE$7-0.2*($P74))^2/('3. Detention'!$AE$7+0.8*($P74)),0)</f>
        <v>0.43408601146130232</v>
      </c>
      <c r="N74" s="24">
        <f>IF('3. Detention'!$AJ$7&gt;0.2*($P74),('3. Detention'!$AJ$7-0.2*($P74))^2/('3. Detention'!$AJ$7+0.8*($P74)),0)</f>
        <v>1.7395295682065344</v>
      </c>
      <c r="O74" s="61">
        <f t="shared" si="1"/>
        <v>43.300000000000047</v>
      </c>
      <c r="P74" s="24">
        <f t="shared" si="0"/>
        <v>13.094688221708982</v>
      </c>
    </row>
    <row r="75" spans="4:16" x14ac:dyDescent="0.3">
      <c r="D75" s="2">
        <v>75</v>
      </c>
      <c r="L75" s="24">
        <f>IF('3. Detention'!$Z$7&gt;0.2*($P75),('3. Detention'!$Z$7-0.2*($P75))^2/('3. Detention'!$Z$7+0.8*($P75)),0)</f>
        <v>2.0828596267910175E-2</v>
      </c>
      <c r="M75" s="24">
        <f>IF('3. Detention'!$AE$7&gt;0.2*($P75),('3. Detention'!$AE$7-0.2*($P75))^2/('3. Detention'!$AE$7+0.8*($P75)),0)</f>
        <v>0.43882133709794724</v>
      </c>
      <c r="N75" s="24">
        <f>IF('3. Detention'!$AJ$7&gt;0.2*($P75),('3. Detention'!$AJ$7-0.2*($P75))^2/('3. Detention'!$AJ$7+0.8*($P75)),0)</f>
        <v>1.7499668933706767</v>
      </c>
      <c r="O75" s="61">
        <f t="shared" si="1"/>
        <v>43.400000000000048</v>
      </c>
      <c r="P75" s="24">
        <f t="shared" si="0"/>
        <v>13.041474654377854</v>
      </c>
    </row>
    <row r="76" spans="4:16" x14ac:dyDescent="0.3">
      <c r="D76" s="2">
        <v>76</v>
      </c>
      <c r="L76" s="24">
        <f>IF('3. Detention'!$Z$7&gt;0.2*($P76),('3. Detention'!$Z$7-0.2*($P76))^2/('3. Detention'!$Z$7+0.8*($P76)),0)</f>
        <v>2.1734704777617256E-2</v>
      </c>
      <c r="M76" s="24">
        <f>IF('3. Detention'!$AE$7&gt;0.2*($P76),('3. Detention'!$AE$7-0.2*($P76))^2/('3. Detention'!$AE$7+0.8*($P76)),0)</f>
        <v>0.44357492569599805</v>
      </c>
      <c r="N76" s="24">
        <f>IF('3. Detention'!$AJ$7&gt;0.2*($P76),('3. Detention'!$AJ$7-0.2*($P76))^2/('3. Detention'!$AJ$7+0.8*($P76)),0)</f>
        <v>1.7604153584175819</v>
      </c>
      <c r="O76" s="61">
        <f>O67+0.1</f>
        <v>43.50000000000005</v>
      </c>
      <c r="P76" s="24">
        <f t="shared" si="0"/>
        <v>12.98850574712641</v>
      </c>
    </row>
    <row r="77" spans="4:16" x14ac:dyDescent="0.3">
      <c r="D77" s="2">
        <v>77</v>
      </c>
      <c r="L77" s="24">
        <f>IF('3. Detention'!$Z$7&gt;0.2*($P77),('3. Detention'!$Z$7-0.2*($P77))^2/('3. Detention'!$Z$7+0.8*($P77)),0)</f>
        <v>2.2658836975349157E-2</v>
      </c>
      <c r="M77" s="24">
        <f>IF('3. Detention'!$AE$7&gt;0.2*($P77),('3. Detention'!$AE$7-0.2*($P77))^2/('3. Detention'!$AE$7+0.8*($P77)),0)</f>
        <v>0.44834670046074687</v>
      </c>
      <c r="N77" s="24">
        <f>IF('3. Detention'!$AJ$7&gt;0.2*($P77),('3. Detention'!$AJ$7-0.2*($P77))^2/('3. Detention'!$AJ$7+0.8*($P77)),0)</f>
        <v>1.7708748793120415</v>
      </c>
      <c r="O77" s="61">
        <f t="shared" si="1"/>
        <v>43.600000000000051</v>
      </c>
      <c r="P77" s="24">
        <f t="shared" si="0"/>
        <v>12.935779816513733</v>
      </c>
    </row>
    <row r="78" spans="4:16" x14ac:dyDescent="0.3">
      <c r="D78" s="2">
        <v>78</v>
      </c>
      <c r="L78" s="24">
        <f>IF('3. Detention'!$Z$7&gt;0.2*($P78),('3. Detention'!$Z$7-0.2*($P78))^2/('3. Detention'!$Z$7+0.8*($P78)),0)</f>
        <v>2.3600924036228783E-2</v>
      </c>
      <c r="M78" s="24">
        <f>IF('3. Detention'!$AE$7&gt;0.2*($P78),('3. Detention'!$AE$7-0.2*($P78))^2/('3. Detention'!$AE$7+0.8*($P78)),0)</f>
        <v>0.4531365853799792</v>
      </c>
      <c r="N78" s="24">
        <f>IF('3. Detention'!$AJ$7&gt;0.2*($P78),('3. Detention'!$AJ$7-0.2*($P78))^2/('3. Detention'!$AJ$7+0.8*($P78)),0)</f>
        <v>1.7813453727892776</v>
      </c>
      <c r="O78" s="61">
        <f t="shared" si="1"/>
        <v>43.700000000000053</v>
      </c>
      <c r="P78" s="24">
        <f t="shared" si="0"/>
        <v>12.88329519450798</v>
      </c>
    </row>
    <row r="79" spans="4:16" x14ac:dyDescent="0.3">
      <c r="D79" s="2">
        <v>79</v>
      </c>
      <c r="L79" s="24">
        <f>IF('3. Detention'!$Z$7&gt;0.2*($P79),('3. Detention'!$Z$7-0.2*($P79))^2/('3. Detention'!$Z$7+0.8*($P79)),0)</f>
        <v>2.4560897945300891E-2</v>
      </c>
      <c r="M79" s="24">
        <f>IF('3. Detention'!$AE$7&gt;0.2*($P79),('3. Detention'!$AE$7-0.2*($P79))^2/('3. Detention'!$AE$7+0.8*($P79)),0)</f>
        <v>0.45794450521520186</v>
      </c>
      <c r="N79" s="24">
        <f>IF('3. Detention'!$AJ$7&gt;0.2*($P79),('3. Detention'!$AJ$7-0.2*($P79))^2/('3. Detention'!$AJ$7+0.8*($P79)),0)</f>
        <v>1.7918267563461474</v>
      </c>
      <c r="O79" s="61">
        <f t="shared" si="1"/>
        <v>43.800000000000054</v>
      </c>
      <c r="P79" s="24">
        <f t="shared" si="0"/>
        <v>12.831050228310474</v>
      </c>
    </row>
    <row r="80" spans="4:16" x14ac:dyDescent="0.3">
      <c r="D80" s="2">
        <v>80</v>
      </c>
      <c r="L80" s="24">
        <f>IF('3. Detention'!$Z$7&gt;0.2*($P80),('3. Detention'!$Z$7-0.2*($P80))^2/('3. Detention'!$Z$7+0.8*($P80)),0)</f>
        <v>2.553869148905746E-2</v>
      </c>
      <c r="M80" s="24">
        <f>IF('3. Detention'!$AE$7&gt;0.2*($P80),('3. Detention'!$AE$7-0.2*($P80))^2/('3. Detention'!$AE$7+0.8*($P80)),0)</f>
        <v>0.46277038549299465</v>
      </c>
      <c r="N80" s="24">
        <f>IF('3. Detention'!$AJ$7&gt;0.2*($P80),('3. Detention'!$AJ$7-0.2*($P80))^2/('3. Detention'!$AJ$7+0.8*($P80)),0)</f>
        <v>1.8023189482324697</v>
      </c>
      <c r="O80" s="61">
        <f t="shared" si="1"/>
        <v>43.900000000000055</v>
      </c>
      <c r="P80" s="24">
        <f t="shared" si="0"/>
        <v>12.779043280182204</v>
      </c>
    </row>
    <row r="81" spans="4:16" x14ac:dyDescent="0.3">
      <c r="D81" s="2">
        <v>81</v>
      </c>
      <c r="L81" s="24">
        <f>IF('3. Detention'!$Z$7&gt;0.2*($P81),('3. Detention'!$Z$7-0.2*($P81))^2/('3. Detention'!$Z$7+0.8*($P81)),0)</f>
        <v>2.6534238247081732E-2</v>
      </c>
      <c r="M81" s="24">
        <f>IF('3. Detention'!$AE$7&gt;0.2*($P81),('3. Detention'!$AE$7-0.2*($P81))^2/('3. Detention'!$AE$7+0.8*($P81)),0)</f>
        <v>0.46761415249647709</v>
      </c>
      <c r="N81" s="24">
        <f>IF('3. Detention'!$AJ$7&gt;0.2*($P81),('3. Detention'!$AJ$7-0.2*($P81))^2/('3. Detention'!$AJ$7+0.8*($P81)),0)</f>
        <v>1.8128218674424681</v>
      </c>
      <c r="O81" s="61">
        <f t="shared" si="1"/>
        <v>44.000000000000057</v>
      </c>
      <c r="P81" s="24">
        <f t="shared" si="0"/>
        <v>12.727272727272698</v>
      </c>
    </row>
    <row r="82" spans="4:16" x14ac:dyDescent="0.3">
      <c r="D82" s="2">
        <v>82</v>
      </c>
      <c r="L82" s="24">
        <f>IF('3. Detention'!$Z$7&gt;0.2*($P82),('3. Detention'!$Z$7-0.2*($P82))^2/('3. Detention'!$Z$7+0.8*($P82)),0)</f>
        <v>2.7547472583809813E-2</v>
      </c>
      <c r="M82" s="24">
        <f>IF('3. Detention'!$AE$7&gt;0.2*($P82),('3. Detention'!$AE$7-0.2*($P82))^2/('3. Detention'!$AE$7+0.8*($P82)),0)</f>
        <v>0.47247573325689257</v>
      </c>
      <c r="N82" s="24">
        <f>IF('3. Detention'!$AJ$7&gt;0.2*($P82),('3. Detention'!$AJ$7-0.2*($P82))^2/('3. Detention'!$AJ$7+0.8*($P82)),0)</f>
        <v>1.8233354337063277</v>
      </c>
      <c r="O82" s="61">
        <f t="shared" si="1"/>
        <v>44.100000000000058</v>
      </c>
      <c r="P82" s="24">
        <f t="shared" si="0"/>
        <v>12.675736961451218</v>
      </c>
    </row>
    <row r="83" spans="4:16" x14ac:dyDescent="0.3">
      <c r="D83" s="2">
        <v>83</v>
      </c>
      <c r="L83" s="24">
        <f>IF('3. Detention'!$Z$7&gt;0.2*($P83),('3. Detention'!$Z$7-0.2*($P83))^2/('3. Detention'!$Z$7+0.8*($P83)),0)</f>
        <v>2.8578329640408236E-2</v>
      </c>
      <c r="M83" s="24">
        <f>IF('3. Detention'!$AE$7&gt;0.2*($P83),('3. Detention'!$AE$7-0.2*($P83))^2/('3. Detention'!$AE$7+0.8*($P83)),0)</f>
        <v>0.47735505554530899</v>
      </c>
      <c r="N83" s="24">
        <f>IF('3. Detention'!$AJ$7&gt;0.2*($P83),('3. Detention'!$AJ$7-0.2*($P83))^2/('3. Detention'!$AJ$7+0.8*($P83)),0)</f>
        <v>1.8338595674818727</v>
      </c>
      <c r="O83" s="61">
        <f t="shared" si="1"/>
        <v>44.20000000000006</v>
      </c>
      <c r="P83" s="24">
        <f t="shared" si="0"/>
        <v>12.624434389140241</v>
      </c>
    </row>
    <row r="84" spans="4:16" x14ac:dyDescent="0.3">
      <c r="D84" s="2">
        <v>84</v>
      </c>
      <c r="L84" s="24">
        <f>IF('3. Detention'!$Z$7&gt;0.2*($P84),('3. Detention'!$Z$7-0.2*($P84))^2/('3. Detention'!$Z$7+0.8*($P84)),0)</f>
        <v>2.9626745326764785E-2</v>
      </c>
      <c r="M84" s="24">
        <f>IF('3. Detention'!$AE$7&gt;0.2*($P84),('3. Detention'!$AE$7-0.2*($P84))^2/('3. Detention'!$AE$7+0.8*($P84)),0)</f>
        <v>0.4822520478644296</v>
      </c>
      <c r="N84" s="24">
        <f>IF('3. Detention'!$AJ$7&gt;0.2*($P84),('3. Detention'!$AJ$7-0.2*($P84))^2/('3. Detention'!$AJ$7+0.8*($P84)),0)</f>
        <v>1.8443941899463532</v>
      </c>
      <c r="O84" s="61">
        <f t="shared" si="1"/>
        <v>44.300000000000061</v>
      </c>
      <c r="P84" s="24">
        <f t="shared" si="0"/>
        <v>12.573363431151211</v>
      </c>
    </row>
    <row r="85" spans="4:16" x14ac:dyDescent="0.3">
      <c r="D85" s="2">
        <v>85</v>
      </c>
      <c r="L85" s="24">
        <f>IF('3. Detention'!$Z$7&gt;0.2*($P85),('3. Detention'!$Z$7-0.2*($P85))^2/('3. Detention'!$Z$7+0.8*($P85)),0)</f>
        <v>3.0692656313591731E-2</v>
      </c>
      <c r="M85" s="24">
        <f>IF('3. Detention'!$AE$7&gt;0.2*($P85),('3. Detention'!$AE$7-0.2*($P85))^2/('3. Detention'!$AE$7+0.8*($P85)),0)</f>
        <v>0.48716663944051675</v>
      </c>
      <c r="N85" s="24">
        <f>IF('3. Detention'!$AJ$7&gt;0.2*($P85),('3. Detention'!$AJ$7-0.2*($P85))^2/('3. Detention'!$AJ$7+0.8*($P85)),0)</f>
        <v>1.8549392229883432</v>
      </c>
      <c r="O85" s="61">
        <f t="shared" si="1"/>
        <v>44.400000000000063</v>
      </c>
      <c r="P85" s="24">
        <f t="shared" si="0"/>
        <v>12.52252252252249</v>
      </c>
    </row>
    <row r="86" spans="4:16" x14ac:dyDescent="0.3">
      <c r="D86" s="2">
        <v>86</v>
      </c>
      <c r="L86" s="24">
        <f>IF('3. Detention'!$Z$7&gt;0.2*($P86),('3. Detention'!$Z$7-0.2*($P86))^2/('3. Detention'!$Z$7+0.8*($P86)),0)</f>
        <v>3.1776000024638887E-2</v>
      </c>
      <c r="M86" s="24">
        <f>IF('3. Detention'!$AE$7&gt;0.2*($P86),('3. Detention'!$AE$7-0.2*($P86))^2/('3. Detention'!$AE$7+0.8*($P86)),0)</f>
        <v>0.49209876021542315</v>
      </c>
      <c r="N86" s="24">
        <f>IF('3. Detention'!$AJ$7&gt;0.2*($P86),('3. Detention'!$AJ$7-0.2*($P86))^2/('3. Detention'!$AJ$7+0.8*($P86)),0)</f>
        <v>1.8654945891997443</v>
      </c>
      <c r="O86" s="61">
        <f t="shared" si="1"/>
        <v>44.500000000000064</v>
      </c>
      <c r="P86" s="24">
        <f t="shared" si="0"/>
        <v>12.471910112359517</v>
      </c>
    </row>
    <row r="87" spans="4:16" x14ac:dyDescent="0.3">
      <c r="D87" s="2">
        <v>87</v>
      </c>
      <c r="L87" s="24">
        <f>IF('3. Detention'!$Z$7&gt;0.2*($P87),('3. Detention'!$Z$7-0.2*($P87))^2/('3. Detention'!$Z$7+0.8*($P87)),0)</f>
        <v>3.2876714629015702E-2</v>
      </c>
      <c r="M87" s="24">
        <f>IF('3. Detention'!$AE$7&gt;0.2*($P87),('3. Detention'!$AE$7-0.2*($P87))^2/('3. Detention'!$AE$7+0.8*($P87)),0)</f>
        <v>0.49704834083873273</v>
      </c>
      <c r="N87" s="24">
        <f>IF('3. Detention'!$AJ$7&gt;0.2*($P87),('3. Detention'!$AJ$7-0.2*($P87))^2/('3. Detention'!$AJ$7+0.8*($P87)),0)</f>
        <v>1.8760602118679071</v>
      </c>
      <c r="O87" s="61">
        <f t="shared" si="1"/>
        <v>44.600000000000065</v>
      </c>
      <c r="P87" s="24">
        <f t="shared" si="0"/>
        <v>12.421524663677097</v>
      </c>
    </row>
    <row r="88" spans="4:16" x14ac:dyDescent="0.3">
      <c r="D88" s="2">
        <v>88</v>
      </c>
      <c r="L88" s="24">
        <f>IF('3. Detention'!$Z$7&gt;0.2*($P88),('3. Detention'!$Z$7-0.2*($P88))^2/('3. Detention'!$Z$7+0.8*($P88)),0)</f>
        <v>3.3994739033620006E-2</v>
      </c>
      <c r="M88" s="24">
        <f>IF('3. Detention'!$AE$7&gt;0.2*($P88),('3. Detention'!$AE$7-0.2*($P88))^2/('3. Detention'!$AE$7+0.8*($P88)),0)</f>
        <v>0.50201531266000687</v>
      </c>
      <c r="N88" s="24">
        <f>IF('3. Detention'!$AJ$7&gt;0.2*($P88),('3. Detention'!$AJ$7-0.2*($P88))^2/('3. Detention'!$AJ$7+0.8*($P88)),0)</f>
        <v>1.8866360149678472</v>
      </c>
      <c r="O88" s="61">
        <f t="shared" si="1"/>
        <v>44.700000000000067</v>
      </c>
      <c r="P88" s="24">
        <f t="shared" si="0"/>
        <v>12.371364653243816</v>
      </c>
    </row>
    <row r="89" spans="4:16" x14ac:dyDescent="0.3">
      <c r="D89" s="2">
        <v>89</v>
      </c>
      <c r="L89" s="24">
        <f>IF('3. Detention'!$Z$7&gt;0.2*($P89),('3. Detention'!$Z$7-0.2*($P89))^2/('3. Detention'!$Z$7+0.8*($P89)),0)</f>
        <v>3.5130012875672023E-2</v>
      </c>
      <c r="M89" s="24">
        <f>IF('3. Detention'!$AE$7&gt;0.2*($P89),('3. Detention'!$AE$7-0.2*($P89))^2/('3. Detention'!$AE$7+0.8*($P89)),0)</f>
        <v>0.50699960772113373</v>
      </c>
      <c r="N89" s="24">
        <f>IF('3. Detention'!$AJ$7&gt;0.2*($P89),('3. Detention'!$AJ$7-0.2*($P89))^2/('3. Detention'!$AJ$7+0.8*($P89)),0)</f>
        <v>1.8972219231545726</v>
      </c>
      <c r="O89" s="61">
        <f t="shared" si="1"/>
        <v>44.800000000000068</v>
      </c>
      <c r="P89" s="24">
        <f t="shared" si="0"/>
        <v>12.321428571428537</v>
      </c>
    </row>
    <row r="90" spans="4:16" x14ac:dyDescent="0.3">
      <c r="D90" s="2">
        <v>90</v>
      </c>
      <c r="L90" s="24">
        <f>IF('3. Detention'!$Z$7&gt;0.2*($P90),('3. Detention'!$Z$7-0.2*($P90))^2/('3. Detention'!$Z$7+0.8*($P90)),0)</f>
        <v>3.6282476515351603E-2</v>
      </c>
      <c r="M90" s="24">
        <f>IF('3. Detention'!$AE$7&gt;0.2*($P90),('3. Detention'!$AE$7-0.2*($P90))^2/('3. Detention'!$AE$7+0.8*($P90)),0)</f>
        <v>0.51200115874878027</v>
      </c>
      <c r="N90" s="24">
        <f>IF('3. Detention'!$AJ$7&gt;0.2*($P90),('3. Detention'!$AJ$7-0.2*($P90))^2/('3. Detention'!$AJ$7+0.8*($P90)),0)</f>
        <v>1.9078178617555073</v>
      </c>
      <c r="O90" s="61">
        <f>O89+0.1</f>
        <v>44.90000000000007</v>
      </c>
      <c r="P90" s="24">
        <f t="shared" si="0"/>
        <v>12.271714922048965</v>
      </c>
    </row>
    <row r="91" spans="4:16" x14ac:dyDescent="0.3">
      <c r="D91" s="2">
        <v>91</v>
      </c>
      <c r="L91" s="24">
        <f>IF('3. Detention'!$Z$7&gt;0.2*($P91),('3. Detention'!$Z$7-0.2*($P91))^2/('3. Detention'!$Z$7+0.8*($P91)),0)</f>
        <v>3.7452071028538404E-2</v>
      </c>
      <c r="M91" s="24">
        <f>IF('3. Detention'!$AE$7&gt;0.2*($P91),('3. Detention'!$AE$7-0.2*($P91))^2/('3. Detention'!$AE$7+0.8*($P91)),0)</f>
        <v>0.51701989914694801</v>
      </c>
      <c r="N91" s="24">
        <f>IF('3. Detention'!$AJ$7&gt;0.2*($P91),('3. Detention'!$AJ$7-0.2*($P91))^2/('3. Detention'!$AJ$7+0.8*($P91)),0)</f>
        <v>1.9184237567630256</v>
      </c>
      <c r="O91" s="61">
        <f t="shared" ref="O91:O154" si="2">O90+0.1</f>
        <v>45.000000000000071</v>
      </c>
      <c r="P91" s="24">
        <f t="shared" si="0"/>
        <v>12.222222222222186</v>
      </c>
    </row>
    <row r="92" spans="4:16" x14ac:dyDescent="0.3">
      <c r="D92" s="2">
        <v>92</v>
      </c>
      <c r="L92" s="24">
        <f>IF('3. Detention'!$Z$7&gt;0.2*($P92),('3. Detention'!$Z$7-0.2*($P92))^2/('3. Detention'!$Z$7+0.8*($P92)),0)</f>
        <v>3.8638738199651364E-2</v>
      </c>
      <c r="M92" s="24">
        <f>IF('3. Detention'!$AE$7&gt;0.2*($P92),('3. Detention'!$AE$7-0.2*($P92))^2/('3. Detention'!$AE$7+0.8*($P92)),0)</f>
        <v>0.52205576298962386</v>
      </c>
      <c r="N92" s="24">
        <f>IF('3. Detention'!$AJ$7&gt;0.2*($P92),('3. Detention'!$AJ$7-0.2*($P92))^2/('3. Detention'!$AJ$7+0.8*($P92)),0)</f>
        <v>1.9290395348270746</v>
      </c>
      <c r="O92" s="61">
        <f t="shared" si="2"/>
        <v>45.100000000000072</v>
      </c>
      <c r="P92" s="24">
        <f t="shared" si="0"/>
        <v>12.172949002217258</v>
      </c>
    </row>
    <row r="93" spans="4:16" x14ac:dyDescent="0.3">
      <c r="D93" s="2">
        <v>93</v>
      </c>
      <c r="L93" s="24">
        <f>IF('3. Detention'!$Z$7&gt;0.2*($P93),('3. Detention'!$Z$7-0.2*($P93))^2/('3. Detention'!$Z$7+0.8*($P93)),0)</f>
        <v>3.9842420514588105E-2</v>
      </c>
      <c r="M93" s="24">
        <f>IF('3. Detention'!$AE$7&gt;0.2*($P93),('3. Detention'!$AE$7-0.2*($P93))^2/('3. Detention'!$AE$7+0.8*($P93)),0)</f>
        <v>0.52710868501353281</v>
      </c>
      <c r="N93" s="24">
        <f>IF('3. Detention'!$AJ$7&gt;0.2*($P93),('3. Detention'!$AJ$7-0.2*($P93))^2/('3. Detention'!$AJ$7+0.8*($P93)),0)</f>
        <v>1.9396651232479021</v>
      </c>
      <c r="O93" s="61">
        <f t="shared" si="2"/>
        <v>45.200000000000074</v>
      </c>
      <c r="P93" s="24">
        <f t="shared" si="0"/>
        <v>12.123893805309699</v>
      </c>
    </row>
    <row r="94" spans="4:16" x14ac:dyDescent="0.3">
      <c r="D94" s="2">
        <v>94</v>
      </c>
      <c r="L94" s="24">
        <f>IF('3. Detention'!$Z$7&gt;0.2*($P94),('3. Detention'!$Z$7-0.2*($P94))^2/('3. Detention'!$Z$7+0.8*($P94)),0)</f>
        <v>4.106306115376137E-2</v>
      </c>
      <c r="M94" s="24">
        <f>IF('3. Detention'!$AE$7&gt;0.2*($P94),('3. Detention'!$AE$7-0.2*($P94))^2/('3. Detention'!$AE$7+0.8*($P94)),0)</f>
        <v>0.53217860061098565</v>
      </c>
      <c r="N94" s="24">
        <f>IF('3. Detention'!$AJ$7&gt;0.2*($P94),('3. Detention'!$AJ$7-0.2*($P94))^2/('3. Detention'!$AJ$7+0.8*($P94)),0)</f>
        <v>1.9503004499688807</v>
      </c>
      <c r="O94" s="61">
        <f t="shared" si="2"/>
        <v>45.300000000000075</v>
      </c>
      <c r="P94" s="24">
        <f t="shared" si="0"/>
        <v>12.075055187637933</v>
      </c>
    </row>
    <row r="95" spans="4:16" x14ac:dyDescent="0.3">
      <c r="D95" s="2">
        <v>95</v>
      </c>
      <c r="L95" s="24">
        <f>IF('3. Detention'!$Z$7&gt;0.2*($P95),('3. Detention'!$Z$7-0.2*($P95))^2/('3. Detention'!$Z$7+0.8*($P95)),0)</f>
        <v>4.2300603985231E-2</v>
      </c>
      <c r="M95" s="24">
        <f>IF('3. Detention'!$AE$7&gt;0.2*($P95),('3. Detention'!$AE$7-0.2*($P95))^2/('3. Detention'!$AE$7+0.8*($P95)),0)</f>
        <v>0.53726544582281965</v>
      </c>
      <c r="N95" s="24">
        <f>IF('3. Detention'!$AJ$7&gt;0.2*($P95),('3. Detention'!$AJ$7-0.2*($P95))^2/('3. Detention'!$AJ$7+0.8*($P95)),0)</f>
        <v>1.9609454435694196</v>
      </c>
      <c r="O95" s="61">
        <f t="shared" si="2"/>
        <v>45.400000000000077</v>
      </c>
      <c r="P95" s="24">
        <f t="shared" si="0"/>
        <v>12.026431718061637</v>
      </c>
    </row>
    <row r="96" spans="4:16" x14ac:dyDescent="0.3">
      <c r="D96" s="2">
        <v>96</v>
      </c>
      <c r="L96" s="24">
        <f>IF('3. Detention'!$Z$7&gt;0.2*($P96),('3. Detention'!$Z$7-0.2*($P96))^2/('3. Detention'!$Z$7+0.8*($P96)),0)</f>
        <v>4.3554993557931326E-2</v>
      </c>
      <c r="M96" s="24">
        <f>IF('3. Detention'!$AE$7&gt;0.2*($P96),('3. Detention'!$AE$7-0.2*($P96))^2/('3. Detention'!$AE$7+0.8*($P96)),0)</f>
        <v>0.54236915733143698</v>
      </c>
      <c r="N96" s="24">
        <f>IF('3. Detention'!$AJ$7&gt;0.2*($P96),('3. Detention'!$AJ$7-0.2*($P96))^2/('3. Detention'!$AJ$7+0.8*($P96)),0)</f>
        <v>1.9716000332579813</v>
      </c>
      <c r="O96" s="61">
        <f t="shared" si="2"/>
        <v>45.500000000000078</v>
      </c>
      <c r="P96" s="24">
        <f t="shared" si="0"/>
        <v>11.978021978021939</v>
      </c>
    </row>
    <row r="97" spans="4:16" x14ac:dyDescent="0.3">
      <c r="D97" s="2">
        <v>97</v>
      </c>
      <c r="L97" s="24">
        <f>IF('3. Detention'!$Z$7&gt;0.2*($P97),('3. Detention'!$Z$7-0.2*($P97))^2/('3. Detention'!$Z$7+0.8*($P97)),0)</f>
        <v>4.4826175094990379E-2</v>
      </c>
      <c r="M97" s="24">
        <f>IF('3. Detention'!$AE$7&gt;0.2*($P97),('3. Detention'!$AE$7-0.2*($P97))^2/('3. Detention'!$AE$7+0.8*($P97)),0)</f>
        <v>0.54748967245392977</v>
      </c>
      <c r="N97" s="24">
        <f>IF('3. Detention'!$AJ$7&gt;0.2*($P97),('3. Detention'!$AJ$7-0.2*($P97))^2/('3. Detention'!$AJ$7+0.8*($P97)),0)</f>
        <v>1.9822641488651764</v>
      </c>
      <c r="O97" s="61">
        <f t="shared" si="2"/>
        <v>45.60000000000008</v>
      </c>
      <c r="P97" s="24">
        <f t="shared" si="0"/>
        <v>11.929824561403471</v>
      </c>
    </row>
    <row r="98" spans="4:16" x14ac:dyDescent="0.3">
      <c r="D98" s="2">
        <v>98</v>
      </c>
      <c r="L98" s="24">
        <f>IF('3. Detention'!$Z$7&gt;0.2*($P98),('3. Detention'!$Z$7-0.2*($P98))^2/('3. Detention'!$Z$7+0.8*($P98)),0)</f>
        <v>4.6114094487142376E-2</v>
      </c>
      <c r="M98" s="24">
        <f>IF('3. Detention'!$AE$7&gt;0.2*($P98),('3. Detention'!$AE$7-0.2*($P98))^2/('3. Detention'!$AE$7+0.8*($P98)),0)</f>
        <v>0.55262692913530209</v>
      </c>
      <c r="N98" s="24">
        <f>IF('3. Detention'!$AJ$7&gt;0.2*($P98),('3. Detention'!$AJ$7-0.2*($P98))^2/('3. Detention'!$AJ$7+0.8*($P98)),0)</f>
        <v>1.9929377208369654</v>
      </c>
      <c r="O98" s="61">
        <f t="shared" si="2"/>
        <v>45.700000000000081</v>
      </c>
      <c r="P98" s="24">
        <f t="shared" si="0"/>
        <v>11.88183807439821</v>
      </c>
    </row>
    <row r="99" spans="4:16" x14ac:dyDescent="0.3">
      <c r="D99" s="2">
        <v>99</v>
      </c>
      <c r="L99" s="24">
        <f>IF('3. Detention'!$Z$7&gt;0.2*($P99),('3. Detention'!$Z$7-0.2*($P99))^2/('3. Detention'!$Z$7+0.8*($P99)),0)</f>
        <v>4.7418698286228501E-2</v>
      </c>
      <c r="M99" s="24">
        <f>IF('3. Detention'!$AE$7&gt;0.2*($P99),('3. Detention'!$AE$7-0.2*($P99))^2/('3. Detention'!$AE$7+0.8*($P99)),0)</f>
        <v>0.5577808659417739</v>
      </c>
      <c r="N99" s="24">
        <f>IF('3. Detention'!$AJ$7&gt;0.2*($P99),('3. Detention'!$AJ$7-0.2*($P99))^2/('3. Detention'!$AJ$7+0.8*($P99)),0)</f>
        <v>2.0036206802279311</v>
      </c>
      <c r="O99" s="61">
        <f t="shared" si="2"/>
        <v>45.800000000000082</v>
      </c>
      <c r="P99" s="24">
        <f t="shared" si="0"/>
        <v>11.83406113537114</v>
      </c>
    </row>
    <row r="100" spans="4:16" x14ac:dyDescent="0.3">
      <c r="D100" s="2">
        <v>100</v>
      </c>
      <c r="L100" s="24">
        <f>IF('3. Detention'!$Z$7&gt;0.2*($P100),('3. Detention'!$Z$7-0.2*($P100))^2/('3. Detention'!$Z$7+0.8*($P100)),0)</f>
        <v>4.8739933698788721E-2</v>
      </c>
      <c r="M100" s="24">
        <f>IF('3. Detention'!$AE$7&gt;0.2*($P100),('3. Detention'!$AE$7-0.2*($P100))^2/('3. Detention'!$AE$7+0.8*($P100)),0)</f>
        <v>0.56295142205418036</v>
      </c>
      <c r="N100" s="24">
        <f>IF('3. Detention'!$AJ$7&gt;0.2*($P100),('3. Detention'!$AJ$7-0.2*($P100))^2/('3. Detention'!$AJ$7+0.8*($P100)),0)</f>
        <v>2.014312958694656</v>
      </c>
      <c r="O100" s="61">
        <f t="shared" si="2"/>
        <v>45.900000000000084</v>
      </c>
      <c r="P100" s="24">
        <f t="shared" si="0"/>
        <v>11.786492374727629</v>
      </c>
    </row>
    <row r="101" spans="4:16" x14ac:dyDescent="0.3">
      <c r="D101" s="2">
        <v>101</v>
      </c>
      <c r="L101" s="24">
        <f>IF('3. Detention'!$Z$7&gt;0.2*($P101),('3. Detention'!$Z$7-0.2*($P101))^2/('3. Detention'!$Z$7+0.8*($P101)),0)</f>
        <v>5.0077748579739491E-2</v>
      </c>
      <c r="M101" s="24">
        <f>IF('3. Detention'!$AE$7&gt;0.2*($P101),('3. Detention'!$AE$7-0.2*($P101))^2/('3. Detention'!$AE$7+0.8*($P101)),0)</f>
        <v>0.56813853726145225</v>
      </c>
      <c r="N101" s="24">
        <f>IF('3. Detention'!$AJ$7&gt;0.2*($P101),('3. Detention'!$AJ$7-0.2*($P101))^2/('3. Detention'!$AJ$7+0.8*($P101)),0)</f>
        <v>2.0250144884891768</v>
      </c>
      <c r="O101" s="61">
        <f t="shared" si="2"/>
        <v>46.000000000000085</v>
      </c>
      <c r="P101" s="24">
        <f t="shared" si="0"/>
        <v>11.739130434782567</v>
      </c>
    </row>
    <row r="102" spans="4:16" x14ac:dyDescent="0.3">
      <c r="D102" s="2">
        <v>102</v>
      </c>
      <c r="L102" s="24">
        <f>IF('3. Detention'!$Z$7&gt;0.2*($P102),('3. Detention'!$Z$7-0.2*($P102))^2/('3. Detention'!$Z$7+0.8*($P102)),0)</f>
        <v>5.1432091426138464E-2</v>
      </c>
      <c r="M102" s="24">
        <f>IF('3. Detention'!$AE$7&gt;0.2*($P102),('3. Detention'!$AE$7-0.2*($P102))^2/('3. Detention'!$AE$7+0.8*($P102)),0)</f>
        <v>0.57334215195418226</v>
      </c>
      <c r="N102" s="24">
        <f>IF('3. Detention'!$AJ$7&gt;0.2*($P102),('3. Detention'!$AJ$7-0.2*($P102))^2/('3. Detention'!$AJ$7+0.8*($P102)),0)</f>
        <v>2.0357252024525203</v>
      </c>
      <c r="O102" s="61">
        <f t="shared" si="2"/>
        <v>46.100000000000087</v>
      </c>
      <c r="P102" s="24">
        <f t="shared" si="0"/>
        <v>11.691973969631196</v>
      </c>
    </row>
    <row r="103" spans="4:16" x14ac:dyDescent="0.3">
      <c r="D103" s="2">
        <v>103</v>
      </c>
      <c r="L103" s="24">
        <f>IF('3. Detention'!$Z$7&gt;0.2*($P103),('3. Detention'!$Z$7-0.2*($P103))^2/('3. Detention'!$Z$7+0.8*($P103)),0)</f>
        <v>5.2802911371034517E-2</v>
      </c>
      <c r="M103" s="24">
        <f>IF('3. Detention'!$AE$7&gt;0.2*($P103),('3. Detention'!$AE$7-0.2*($P103))^2/('3. Detention'!$AE$7+0.8*($P103)),0)</f>
        <v>0.57856220711827955</v>
      </c>
      <c r="N103" s="24">
        <f>IF('3. Detention'!$AJ$7&gt;0.2*($P103),('3. Detention'!$AJ$7-0.2*($P103))^2/('3. Detention'!$AJ$7+0.8*($P103)),0)</f>
        <v>2.0464450340083378</v>
      </c>
      <c r="O103" s="61">
        <f t="shared" si="2"/>
        <v>46.200000000000088</v>
      </c>
      <c r="P103" s="24">
        <f t="shared" si="0"/>
        <v>11.645021645021604</v>
      </c>
    </row>
    <row r="104" spans="4:16" x14ac:dyDescent="0.3">
      <c r="D104" s="2">
        <v>104</v>
      </c>
      <c r="L104" s="24">
        <f>IF('3. Detention'!$Z$7&gt;0.2*($P104),('3. Detention'!$Z$7-0.2*($P104))^2/('3. Detention'!$Z$7+0.8*($P104)),0)</f>
        <v>5.4190158177401013E-2</v>
      </c>
      <c r="M104" s="24">
        <f>IF('3. Detention'!$AE$7&gt;0.2*($P104),('3. Detention'!$AE$7-0.2*($P104))^2/('3. Detention'!$AE$7+0.8*($P104)),0)</f>
        <v>0.58379864432870154</v>
      </c>
      <c r="N104" s="24">
        <f>IF('3. Detention'!$AJ$7&gt;0.2*($P104),('3. Detention'!$AJ$7-0.2*($P104))^2/('3. Detention'!$AJ$7+0.8*($P104)),0)</f>
        <v>2.0571739171566077</v>
      </c>
      <c r="O104" s="61">
        <f t="shared" si="2"/>
        <v>46.30000000000009</v>
      </c>
      <c r="P104" s="24">
        <f t="shared" si="0"/>
        <v>11.5982721382289</v>
      </c>
    </row>
    <row r="105" spans="4:16" x14ac:dyDescent="0.3">
      <c r="D105" s="2">
        <v>105</v>
      </c>
      <c r="L105" s="24">
        <f>IF('3. Detention'!$Z$7&gt;0.2*($P105),('3. Detention'!$Z$7-0.2*($P105))^2/('3. Detention'!$Z$7+0.8*($P105)),0)</f>
        <v>5.5593782232151466E-2</v>
      </c>
      <c r="M105" s="24">
        <f>IF('3. Detention'!$AE$7&gt;0.2*($P105),('3. Detention'!$AE$7-0.2*($P105))^2/('3. Detention'!$AE$7+0.8*($P105)),0)</f>
        <v>0.58905140574326931</v>
      </c>
      <c r="N105" s="24">
        <f>IF('3. Detention'!$AJ$7&gt;0.2*($P105),('3. Detention'!$AJ$7-0.2*($P105))^2/('3. Detention'!$AJ$7+0.8*($P105)),0)</f>
        <v>2.0679117864674237</v>
      </c>
      <c r="O105" s="61">
        <f t="shared" si="2"/>
        <v>46.400000000000091</v>
      </c>
      <c r="P105" s="24">
        <f t="shared" ref="P105:P168" si="3">IF(O105&gt;0,1000/O105-10,1000)</f>
        <v>11.551724137930993</v>
      </c>
    </row>
    <row r="106" spans="4:16" x14ac:dyDescent="0.3">
      <c r="D106" s="2">
        <v>106</v>
      </c>
      <c r="L106" s="24">
        <f>IF('3. Detention'!$Z$7&gt;0.2*($P106),('3. Detention'!$Z$7-0.2*($P106))^2/('3. Detention'!$Z$7+0.8*($P106)),0)</f>
        <v>5.7013734540237344E-2</v>
      </c>
      <c r="M106" s="24">
        <f>IF('3. Detention'!$AE$7&gt;0.2*($P106),('3. Detention'!$AE$7-0.2*($P106))^2/('3. Detention'!$AE$7+0.8*($P106)),0)</f>
        <v>0.59432043409656554</v>
      </c>
      <c r="N106" s="24">
        <f>IF('3. Detention'!$AJ$7&gt;0.2*($P106),('3. Detention'!$AJ$7-0.2*($P106))^2/('3. Detention'!$AJ$7+0.8*($P106)),0)</f>
        <v>2.0786585770748696</v>
      </c>
      <c r="O106" s="61">
        <f t="shared" si="2"/>
        <v>46.500000000000092</v>
      </c>
      <c r="P106" s="24">
        <f t="shared" si="3"/>
        <v>11.505376344085978</v>
      </c>
    </row>
    <row r="107" spans="4:16" x14ac:dyDescent="0.3">
      <c r="D107" s="2">
        <v>107</v>
      </c>
      <c r="L107" s="24">
        <f>IF('3. Detention'!$Z$7&gt;0.2*($P107),('3. Detention'!$Z$7-0.2*($P107))^2/('3. Detention'!$Z$7+0.8*($P107)),0)</f>
        <v>5.8449966718824582E-2</v>
      </c>
      <c r="M107" s="24">
        <f>IF('3. Detention'!$AE$7&gt;0.2*($P107),('3. Detention'!$AE$7-0.2*($P107))^2/('3. Detention'!$AE$7+0.8*($P107)),0)</f>
        <v>0.59960567269390563</v>
      </c>
      <c r="N107" s="24">
        <f>IF('3. Detention'!$AJ$7&gt;0.2*($P107),('3. Detention'!$AJ$7-0.2*($P107))^2/('3. Detention'!$AJ$7+0.8*($P107)),0)</f>
        <v>2.0894142246709597</v>
      </c>
      <c r="O107" s="61">
        <f t="shared" si="2"/>
        <v>46.600000000000094</v>
      </c>
      <c r="P107" s="24">
        <f t="shared" si="3"/>
        <v>11.459227467811115</v>
      </c>
    </row>
    <row r="108" spans="4:16" x14ac:dyDescent="0.3">
      <c r="D108" s="2">
        <v>108</v>
      </c>
      <c r="L108" s="24">
        <f>IF('3. Detention'!$Z$7&gt;0.2*($P108),('3. Detention'!$Z$7-0.2*($P108))^2/('3. Detention'!$Z$7+0.8*($P108)),0)</f>
        <v>5.9902430991550577E-2</v>
      </c>
      <c r="M108" s="24">
        <f>IF('3. Detention'!$AE$7&gt;0.2*($P108),('3. Detention'!$AE$7-0.2*($P108))^2/('3. Detention'!$AE$7+0.8*($P108)),0)</f>
        <v>0.60490706540539418</v>
      </c>
      <c r="N108" s="24">
        <f>IF('3. Detention'!$AJ$7&gt;0.2*($P108),('3. Detention'!$AJ$7-0.2*($P108))^2/('3. Detention'!$AJ$7+0.8*($P108)),0)</f>
        <v>2.100178665499675</v>
      </c>
      <c r="O108" s="61">
        <f t="shared" si="2"/>
        <v>46.700000000000095</v>
      </c>
      <c r="P108" s="24">
        <f t="shared" si="3"/>
        <v>11.413276231263339</v>
      </c>
    </row>
    <row r="109" spans="4:16" x14ac:dyDescent="0.3">
      <c r="D109" s="2">
        <v>109</v>
      </c>
      <c r="L109" s="24">
        <f>IF('3. Detention'!$Z$7&gt;0.2*($P109),('3. Detention'!$Z$7-0.2*($P109))^2/('3. Detention'!$Z$7+0.8*($P109)),0)</f>
        <v>6.1371080182857619E-2</v>
      </c>
      <c r="M109" s="24">
        <f>IF('3. Detention'!$AE$7&gt;0.2*($P109),('3. Detention'!$AE$7-0.2*($P109))^2/('3. Detention'!$AE$7+0.8*($P109)),0)</f>
        <v>0.61022455666005049</v>
      </c>
      <c r="N109" s="24">
        <f>IF('3. Detention'!$AJ$7&gt;0.2*($P109),('3. Detention'!$AJ$7-0.2*($P109))^2/('3. Detention'!$AJ$7+0.8*($P109)),0)</f>
        <v>2.1109518363510555</v>
      </c>
      <c r="O109" s="61">
        <f t="shared" si="2"/>
        <v>46.800000000000097</v>
      </c>
      <c r="P109" s="24">
        <f t="shared" si="3"/>
        <v>11.367521367521324</v>
      </c>
    </row>
    <row r="110" spans="4:16" x14ac:dyDescent="0.3">
      <c r="D110" s="2">
        <v>110</v>
      </c>
      <c r="L110" s="24">
        <f>IF('3. Detention'!$Z$7&gt;0.2*($P110),('3. Detention'!$Z$7-0.2*($P110))^2/('3. Detention'!$Z$7+0.8*($P110)),0)</f>
        <v>6.2855867712404034E-2</v>
      </c>
      <c r="M110" s="24">
        <f>IF('3. Detention'!$AE$7&gt;0.2*($P110),('3. Detention'!$AE$7-0.2*($P110))^2/('3. Detention'!$AE$7+0.8*($P110)),0)</f>
        <v>0.61555809144001716</v>
      </c>
      <c r="N110" s="24">
        <f>IF('3. Detention'!$AJ$7&gt;0.2*($P110),('3. Detention'!$AJ$7-0.2*($P110))^2/('3. Detention'!$AJ$7+0.8*($P110)),0)</f>
        <v>2.1217336745553892</v>
      </c>
      <c r="O110" s="61">
        <f t="shared" si="2"/>
        <v>46.900000000000098</v>
      </c>
      <c r="P110" s="24">
        <f t="shared" si="3"/>
        <v>11.32196162046904</v>
      </c>
    </row>
    <row r="111" spans="4:16" x14ac:dyDescent="0.3">
      <c r="D111" s="2">
        <v>111</v>
      </c>
      <c r="L111" s="24">
        <f>IF('3. Detention'!$Z$7&gt;0.2*($P111),('3. Detention'!$Z$7-0.2*($P111))^2/('3. Detention'!$Z$7+0.8*($P111)),0)</f>
        <v>6.4356747589549929E-2</v>
      </c>
      <c r="M111" s="24">
        <f>IF('3. Detention'!$AE$7&gt;0.2*($P111),('3. Detention'!$AE$7-0.2*($P111))^2/('3. Detention'!$AE$7+0.8*($P111)),0)</f>
        <v>0.62090761527483596</v>
      </c>
      <c r="N111" s="24">
        <f>IF('3. Detention'!$AJ$7&gt;0.2*($P111),('3. Detention'!$AJ$7-0.2*($P111))^2/('3. Detention'!$AJ$7+0.8*($P111)),0)</f>
        <v>2.1325241179774541</v>
      </c>
      <c r="O111" s="61">
        <f t="shared" si="2"/>
        <v>47.000000000000099</v>
      </c>
      <c r="P111" s="24">
        <f t="shared" si="3"/>
        <v>11.276595744680805</v>
      </c>
    </row>
    <row r="112" spans="4:16" x14ac:dyDescent="0.3">
      <c r="D112" s="2">
        <v>112</v>
      </c>
      <c r="L112" s="24">
        <f>IF('3. Detention'!$Z$7&gt;0.2*($P112),('3. Detention'!$Z$7-0.2*($P112))^2/('3. Detention'!$Z$7+0.8*($P112)),0)</f>
        <v>6.5873674407917179E-2</v>
      </c>
      <c r="M112" s="24">
        <f>IF('3. Detention'!$AE$7&gt;0.2*($P112),('3. Detention'!$AE$7-0.2*($P112))^2/('3. Detention'!$AE$7+0.8*($P112)),0)</f>
        <v>0.62627307423579981</v>
      </c>
      <c r="N112" s="24">
        <f>IF('3. Detention'!$AJ$7&gt;0.2*($P112),('3. Detention'!$AJ$7-0.2*($P112))^2/('3. Detention'!$AJ$7+0.8*($P112)),0)</f>
        <v>2.1433231050108481</v>
      </c>
      <c r="O112" s="61">
        <f t="shared" si="2"/>
        <v>47.100000000000101</v>
      </c>
      <c r="P112" s="24">
        <f t="shared" si="3"/>
        <v>11.231422505307812</v>
      </c>
    </row>
    <row r="113" spans="4:16" x14ac:dyDescent="0.3">
      <c r="D113" s="2">
        <v>113</v>
      </c>
      <c r="L113" s="24">
        <f>IF('3. Detention'!$Z$7&gt;0.2*($P113),('3. Detention'!$Z$7-0.2*($P113))^2/('3. Detention'!$Z$7+0.8*($P113)),0)</f>
        <v>6.7406603340025045E-2</v>
      </c>
      <c r="M113" s="24">
        <f>IF('3. Detention'!$AE$7&gt;0.2*($P113),('3. Detention'!$AE$7-0.2*($P113))^2/('3. Detention'!$AE$7+0.8*($P113)),0)</f>
        <v>0.63165441493038232</v>
      </c>
      <c r="N113" s="24">
        <f>IF('3. Detention'!$AJ$7&gt;0.2*($P113),('3. Detention'!$AJ$7-0.2*($P113))^2/('3. Detention'!$AJ$7+0.8*($P113)),0)</f>
        <v>2.1541305745723944</v>
      </c>
      <c r="O113" s="61">
        <f t="shared" si="2"/>
        <v>47.200000000000102</v>
      </c>
      <c r="P113" s="24">
        <f t="shared" si="3"/>
        <v>11.186440677966054</v>
      </c>
    </row>
    <row r="114" spans="4:16" x14ac:dyDescent="0.3">
      <c r="D114" s="2">
        <v>114</v>
      </c>
      <c r="L114" s="24">
        <f>IF('3. Detention'!$Z$7&gt;0.2*($P114),('3. Detention'!$Z$7-0.2*($P114))^2/('3. Detention'!$Z$7+0.8*($P114)),0)</f>
        <v>6.8955490131993868E-2</v>
      </c>
      <c r="M114" s="24">
        <f>IF('3. Detention'!$AE$7&gt;0.2*($P114),('3. Detention'!$AE$7-0.2*($P114))^2/('3. Detention'!$AE$7+0.8*($P114)),0)</f>
        <v>0.63705158449672628</v>
      </c>
      <c r="N114" s="24">
        <f>IF('3. Detention'!$AJ$7&gt;0.2*($P114),('3. Detention'!$AJ$7-0.2*($P114))^2/('3. Detention'!$AJ$7+0.8*($P114)),0)</f>
        <v>2.1649464660965938</v>
      </c>
      <c r="O114" s="61">
        <f t="shared" si="2"/>
        <v>47.300000000000104</v>
      </c>
      <c r="P114" s="24">
        <f t="shared" si="3"/>
        <v>11.141649048625748</v>
      </c>
    </row>
    <row r="115" spans="4:16" x14ac:dyDescent="0.3">
      <c r="D115" s="2">
        <v>115</v>
      </c>
      <c r="L115" s="24">
        <f>IF('3. Detention'!$Z$7&gt;0.2*($P115),('3. Detention'!$Z$7-0.2*($P115))^2/('3. Detention'!$Z$7+0.8*($P115)),0)</f>
        <v>7.0520291098324778E-2</v>
      </c>
      <c r="M115" s="24">
        <f>IF('3. Detention'!$AE$7&gt;0.2*($P115),('3. Detention'!$AE$7-0.2*($P115))^2/('3. Detention'!$AE$7+0.8*($P115)),0)</f>
        <v>0.64246453059821607</v>
      </c>
      <c r="N115" s="24">
        <f>IF('3. Detention'!$AJ$7&gt;0.2*($P115),('3. Detention'!$AJ$7-0.2*($P115))^2/('3. Detention'!$AJ$7+0.8*($P115)),0)</f>
        <v>2.1757707195301812</v>
      </c>
      <c r="O115" s="61">
        <f t="shared" si="2"/>
        <v>47.400000000000105</v>
      </c>
      <c r="P115" s="24">
        <f t="shared" si="3"/>
        <v>11.097046413502063</v>
      </c>
    </row>
    <row r="116" spans="4:16" x14ac:dyDescent="0.3">
      <c r="D116" s="2">
        <v>116</v>
      </c>
      <c r="L116" s="24">
        <f>IF('3. Detention'!$Z$7&gt;0.2*($P116),('3. Detention'!$Z$7-0.2*($P116))^2/('3. Detention'!$Z$7+0.8*($P116)),0)</f>
        <v>7.2100963116745534E-2</v>
      </c>
      <c r="M116" s="24">
        <f>IF('3. Detention'!$AE$7&gt;0.2*($P116),('3. Detention'!$AE$7-0.2*($P116))^2/('3. Detention'!$AE$7+0.8*($P116)),0)</f>
        <v>0.64789320141810791</v>
      </c>
      <c r="N116" s="24">
        <f>IF('3. Detention'!$AJ$7&gt;0.2*($P116),('3. Detention'!$AJ$7-0.2*($P116))^2/('3. Detention'!$AJ$7+0.8*($P116)),0)</f>
        <v>2.1866032753267222</v>
      </c>
      <c r="O116" s="61">
        <f t="shared" si="2"/>
        <v>47.500000000000107</v>
      </c>
      <c r="P116" s="24">
        <f t="shared" si="3"/>
        <v>11.05263157894732</v>
      </c>
    </row>
    <row r="117" spans="4:16" x14ac:dyDescent="0.3">
      <c r="D117" s="2">
        <v>117</v>
      </c>
      <c r="L117" s="24">
        <f>IF('3. Detention'!$Z$7&gt;0.2*($P117),('3. Detention'!$Z$7-0.2*($P117))^2/('3. Detention'!$Z$7+0.8*($P117)),0)</f>
        <v>7.3697463623128012E-2</v>
      </c>
      <c r="M117" s="24">
        <f>IF('3. Detention'!$AE$7&gt;0.2*($P117),('3. Detention'!$AE$7-0.2*($P117))^2/('3. Detention'!$AE$7+0.8*($P117)),0)</f>
        <v>0.65333754565423441</v>
      </c>
      <c r="N117" s="24">
        <f>IF('3. Detention'!$AJ$7&gt;0.2*($P117),('3. Detention'!$AJ$7-0.2*($P117))^2/('3. Detention'!$AJ$7+0.8*($P117)),0)</f>
        <v>2.1974440744412913</v>
      </c>
      <c r="O117" s="61">
        <f t="shared" si="2"/>
        <v>47.600000000000108</v>
      </c>
      <c r="P117" s="24">
        <f t="shared" si="3"/>
        <v>11.008403361344492</v>
      </c>
    </row>
    <row r="118" spans="4:16" x14ac:dyDescent="0.3">
      <c r="D118" s="2">
        <v>118</v>
      </c>
      <c r="L118" s="24">
        <f>IF('3. Detention'!$Z$7&gt;0.2*($P118),('3. Detention'!$Z$7-0.2*($P118))^2/('3. Detention'!$Z$7+0.8*($P118)),0)</f>
        <v>7.5309750606473436E-2</v>
      </c>
      <c r="M118" s="24">
        <f>IF('3. Detention'!$AE$7&gt;0.2*($P118),('3. Detention'!$AE$7-0.2*($P118))^2/('3. Detention'!$AE$7+0.8*($P118)),0)</f>
        <v>0.65879751251377572</v>
      </c>
      <c r="N118" s="24">
        <f>IF('3. Detention'!$AJ$7&gt;0.2*($P118),('3. Detention'!$AJ$7-0.2*($P118))^2/('3. Detention'!$AJ$7+0.8*($P118)),0)</f>
        <v>2.2082930583252187</v>
      </c>
      <c r="O118" s="61">
        <f t="shared" si="2"/>
        <v>47.700000000000109</v>
      </c>
      <c r="P118" s="24">
        <f t="shared" si="3"/>
        <v>10.964360587002048</v>
      </c>
    </row>
    <row r="119" spans="4:16" x14ac:dyDescent="0.3">
      <c r="D119" s="2">
        <v>119</v>
      </c>
      <c r="L119" s="24">
        <f>IF('3. Detention'!$Z$7&gt;0.2*($P119),('3. Detention'!$Z$7-0.2*($P119))^2/('3. Detention'!$Z$7+0.8*($P119)),0)</f>
        <v>7.693778260396375E-2</v>
      </c>
      <c r="M119" s="24">
        <f>IF('3. Detention'!$AE$7&gt;0.2*($P119),('3. Detention'!$AE$7-0.2*($P119))^2/('3. Detention'!$AE$7+0.8*($P119)),0)</f>
        <v>0.6642730517080927</v>
      </c>
      <c r="N119" s="24">
        <f>IF('3. Detention'!$AJ$7&gt;0.2*($P119),('3. Detention'!$AJ$7-0.2*($P119))^2/('3. Detention'!$AJ$7+0.8*($P119)),0)</f>
        <v>2.2191501689208941</v>
      </c>
      <c r="O119" s="61">
        <f t="shared" si="2"/>
        <v>47.800000000000111</v>
      </c>
      <c r="P119" s="24">
        <f t="shared" si="3"/>
        <v>10.92050209205016</v>
      </c>
    </row>
    <row r="120" spans="4:16" x14ac:dyDescent="0.3">
      <c r="D120" s="2">
        <v>120</v>
      </c>
      <c r="L120" s="24">
        <f>IF('3. Detention'!$Z$7&gt;0.2*($P120),('3. Detention'!$Z$7-0.2*($P120))^2/('3. Detention'!$Z$7+0.8*($P120)),0)</f>
        <v>7.8581518696080876E-2</v>
      </c>
      <c r="M120" s="24">
        <f>IF('3. Detention'!$AE$7&gt;0.2*($P120),('3. Detention'!$AE$7-0.2*($P120))^2/('3. Detention'!$AE$7+0.8*($P120)),0)</f>
        <v>0.66976411344763054</v>
      </c>
      <c r="N120" s="24">
        <f>IF('3. Detention'!$AJ$7&gt;0.2*($P120),('3. Detention'!$AJ$7-0.2*($P120))^2/('3. Detention'!$AJ$7+0.8*($P120)),0)</f>
        <v>2.2300153486566452</v>
      </c>
      <c r="O120" s="61">
        <f t="shared" si="2"/>
        <v>47.900000000000112</v>
      </c>
      <c r="P120" s="24">
        <f t="shared" si="3"/>
        <v>10.876826722338155</v>
      </c>
    </row>
    <row r="121" spans="4:16" x14ac:dyDescent="0.3">
      <c r="D121" s="2">
        <v>121</v>
      </c>
      <c r="L121" s="24">
        <f>IF('3. Detention'!$Z$7&gt;0.2*($P121),('3. Detention'!$Z$7-0.2*($P121))^2/('3. Detention'!$Z$7+0.8*($P121)),0)</f>
        <v>8.0240918501789993E-2</v>
      </c>
      <c r="M121" s="24">
        <f>IF('3. Detention'!$AE$7&gt;0.2*($P121),('3. Detention'!$AE$7-0.2*($P121))^2/('3. Detention'!$AE$7+0.8*($P121)),0)</f>
        <v>0.67527064843688178</v>
      </c>
      <c r="N121" s="24">
        <f>IF('3. Detention'!$AJ$7&gt;0.2*($P121),('3. Detention'!$AJ$7-0.2*($P121))^2/('3. Detention'!$AJ$7+0.8*($P121)),0)</f>
        <v>2.2408885404416692</v>
      </c>
      <c r="O121" s="61">
        <f t="shared" si="2"/>
        <v>48.000000000000114</v>
      </c>
      <c r="P121" s="24">
        <f t="shared" si="3"/>
        <v>10.833333333333282</v>
      </c>
    </row>
    <row r="122" spans="4:16" x14ac:dyDescent="0.3">
      <c r="D122" s="2">
        <v>122</v>
      </c>
      <c r="L122" s="24">
        <f>IF('3. Detention'!$Z$7&gt;0.2*($P122),('3. Detention'!$Z$7-0.2*($P122))^2/('3. Detention'!$Z$7+0.8*($P122)),0)</f>
        <v>8.1915942173788073E-2</v>
      </c>
      <c r="M122" s="24">
        <f>IF('3. Detention'!$AE$7&gt;0.2*($P122),('3. Detention'!$AE$7-0.2*($P122))^2/('3. Detention'!$AE$7+0.8*($P122)),0)</f>
        <v>0.68079260786941687</v>
      </c>
      <c r="N122" s="24">
        <f>IF('3. Detention'!$AJ$7&gt;0.2*($P122),('3. Detention'!$AJ$7-0.2*($P122))^2/('3. Detention'!$AJ$7+0.8*($P122)),0)</f>
        <v>2.2517696876610414</v>
      </c>
      <c r="O122" s="61">
        <f t="shared" si="2"/>
        <v>48.100000000000115</v>
      </c>
      <c r="P122" s="24">
        <f t="shared" si="3"/>
        <v>10.790020790020741</v>
      </c>
    </row>
    <row r="123" spans="4:16" x14ac:dyDescent="0.3">
      <c r="D123" s="2">
        <v>123</v>
      </c>
      <c r="L123" s="24">
        <f>IF('3. Detention'!$Z$7&gt;0.2*($P123),('3. Detention'!$Z$7-0.2*($P123))^2/('3. Detention'!$Z$7+0.8*($P123)),0)</f>
        <v>8.3606550393815413E-2</v>
      </c>
      <c r="M123" s="24">
        <f>IF('3. Detention'!$AE$7&gt;0.2*($P123),('3. Detention'!$AE$7-0.2*($P123))^2/('3. Detention'!$AE$7+0.8*($P123)),0)</f>
        <v>0.68632994342297293</v>
      </c>
      <c r="N123" s="24">
        <f>IF('3. Detention'!$AJ$7&gt;0.2*($P123),('3. Detention'!$AJ$7-0.2*($P123))^2/('3. Detention'!$AJ$7+0.8*($P123)),0)</f>
        <v>2.2626587341707731</v>
      </c>
      <c r="O123" s="61">
        <f t="shared" si="2"/>
        <v>48.200000000000117</v>
      </c>
      <c r="P123" s="24">
        <f t="shared" si="3"/>
        <v>10.74688796680493</v>
      </c>
    </row>
    <row r="124" spans="4:16" x14ac:dyDescent="0.3">
      <c r="D124" s="2">
        <v>124</v>
      </c>
      <c r="L124" s="24">
        <f>IF('3. Detention'!$Z$7&gt;0.2*($P124),('3. Detention'!$Z$7-0.2*($P124))^2/('3. Detention'!$Z$7+0.8*($P124)),0)</f>
        <v>8.5312704368030096E-2</v>
      </c>
      <c r="M124" s="24">
        <f>IF('3. Detention'!$AE$7&gt;0.2*($P124),('3. Detention'!$AE$7-0.2*($P124))^2/('3. Detention'!$AE$7+0.8*($P124)),0)</f>
        <v>0.69188260725460715</v>
      </c>
      <c r="N124" s="24">
        <f>IF('3. Detention'!$AJ$7&gt;0.2*($P124),('3. Detention'!$AJ$7-0.2*($P124))^2/('3. Detention'!$AJ$7+0.8*($P124)),0)</f>
        <v>2.2735556242929396</v>
      </c>
      <c r="O124" s="61">
        <f t="shared" si="2"/>
        <v>48.300000000000118</v>
      </c>
      <c r="P124" s="24">
        <f t="shared" si="3"/>
        <v>10.703933747411959</v>
      </c>
    </row>
    <row r="125" spans="4:16" x14ac:dyDescent="0.3">
      <c r="D125" s="2">
        <v>125</v>
      </c>
      <c r="L125" s="24">
        <f>IF('3. Detention'!$Z$7&gt;0.2*($P125),('3. Detention'!$Z$7-0.2*($P125))^2/('3. Detention'!$Z$7+0.8*($P125)),0)</f>
        <v>8.7034365822444143E-2</v>
      </c>
      <c r="M125" s="24">
        <f>IF('3. Detention'!$AE$7&gt;0.2*($P125),('3. Detention'!$AE$7-0.2*($P125))^2/('3. Detention'!$AE$7+0.8*($P125)),0)</f>
        <v>0.69745055199590966</v>
      </c>
      <c r="N125" s="24">
        <f>IF('3. Detention'!$AJ$7&gt;0.2*($P125),('3. Detention'!$AJ$7-0.2*($P125))^2/('3. Detention'!$AJ$7+0.8*($P125)),0)</f>
        <v>2.2844603028108632</v>
      </c>
      <c r="O125" s="61">
        <f t="shared" si="2"/>
        <v>48.400000000000119</v>
      </c>
      <c r="P125" s="24">
        <f t="shared" si="3"/>
        <v>10.661157024793336</v>
      </c>
    </row>
    <row r="126" spans="4:16" x14ac:dyDescent="0.3">
      <c r="D126" s="2">
        <v>126</v>
      </c>
      <c r="L126" s="24">
        <f>IF('3. Detention'!$Z$7&gt;0.2*($P126),('3. Detention'!$Z$7-0.2*($P126))^2/('3. Detention'!$Z$7+0.8*($P126)),0)</f>
        <v>8.8771496998419783E-2</v>
      </c>
      <c r="M126" s="24">
        <f>IF('3. Detention'!$AE$7&gt;0.2*($P126),('3. Detention'!$AE$7-0.2*($P126))^2/('3. Detention'!$AE$7+0.8*($P126)),0)</f>
        <v>0.70303373074827313</v>
      </c>
      <c r="N126" s="24">
        <f>IF('3. Detention'!$AJ$7&gt;0.2*($P126),('3. Detention'!$AJ$7-0.2*($P126))^2/('3. Detention'!$AJ$7+0.8*($P126)),0)</f>
        <v>2.295372714964357</v>
      </c>
      <c r="O126" s="61">
        <f t="shared" si="2"/>
        <v>48.500000000000121</v>
      </c>
      <c r="P126" s="24">
        <f t="shared" si="3"/>
        <v>10.618556701030876</v>
      </c>
    </row>
    <row r="127" spans="4:16" x14ac:dyDescent="0.3">
      <c r="D127" s="2">
        <v>127</v>
      </c>
      <c r="L127" s="24">
        <f>IF('3. Detention'!$Z$7&gt;0.2*($P127),('3. Detention'!$Z$7-0.2*($P127))^2/('3. Detention'!$Z$7+0.8*($P127)),0)</f>
        <v>9.0524060648227309E-2</v>
      </c>
      <c r="M127" s="24">
        <f>IF('3. Detention'!$AE$7&gt;0.2*($P127),('3. Detention'!$AE$7-0.2*($P127))^2/('3. Detention'!$AE$7+0.8*($P127)),0)</f>
        <v>0.70863209707822705</v>
      </c>
      <c r="N127" s="24">
        <f>IF('3. Detention'!$AJ$7&gt;0.2*($P127),('3. Detention'!$AJ$7-0.2*($P127))^2/('3. Detention'!$AJ$7+0.8*($P127)),0)</f>
        <v>2.3062928064450312</v>
      </c>
      <c r="O127" s="61">
        <f t="shared" si="2"/>
        <v>48.600000000000122</v>
      </c>
      <c r="P127" s="24">
        <f t="shared" si="3"/>
        <v>10.576131687242746</v>
      </c>
    </row>
    <row r="128" spans="4:16" x14ac:dyDescent="0.3">
      <c r="D128" s="2">
        <v>128</v>
      </c>
      <c r="L128" s="24">
        <f>IF('3. Detention'!$Z$7&gt;0.2*($P128),('3. Detention'!$Z$7-0.2*($P128))^2/('3. Detention'!$Z$7+0.8*($P128)),0)</f>
        <v>9.229202003066049E-2</v>
      </c>
      <c r="M128" s="24">
        <f>IF('3. Detention'!$AE$7&gt;0.2*($P128),('3. Detention'!$AE$7-0.2*($P128))^2/('3. Detention'!$AE$7+0.8*($P128)),0)</f>
        <v>0.71424560501282519</v>
      </c>
      <c r="N128" s="24">
        <f>IF('3. Detention'!$AJ$7&gt;0.2*($P128),('3. Detention'!$AJ$7-0.2*($P128))^2/('3. Detention'!$AJ$7+0.8*($P128)),0)</f>
        <v>2.3172205233916525</v>
      </c>
      <c r="O128" s="61">
        <f t="shared" si="2"/>
        <v>48.700000000000124</v>
      </c>
      <c r="P128" s="24">
        <f t="shared" si="3"/>
        <v>10.533880903490708</v>
      </c>
    </row>
    <row r="129" spans="4:16" x14ac:dyDescent="0.3">
      <c r="D129" s="2">
        <v>129</v>
      </c>
      <c r="L129" s="24">
        <f>IF('3. Detention'!$Z$7&gt;0.2*($P129),('3. Detention'!$Z$7-0.2*($P129))^2/('3. Detention'!$Z$7+0.8*($P129)),0)</f>
        <v>9.4075338906711534E-2</v>
      </c>
      <c r="M129" s="24">
        <f>IF('3. Detention'!$AE$7&gt;0.2*($P129),('3. Detention'!$AE$7-0.2*($P129))^2/('3. Detention'!$AE$7+0.8*($P129)),0)</f>
        <v>0.71987420903509169</v>
      </c>
      <c r="N129" s="24">
        <f>IF('3. Detention'!$AJ$7&gt;0.2*($P129),('3. Detention'!$AJ$7-0.2*($P129))^2/('3. Detention'!$AJ$7+0.8*($P129)),0)</f>
        <v>2.3281558123855635</v>
      </c>
      <c r="O129" s="61">
        <f t="shared" si="2"/>
        <v>48.800000000000125</v>
      </c>
      <c r="P129" s="24">
        <f t="shared" si="3"/>
        <v>10.491803278688472</v>
      </c>
    </row>
    <row r="130" spans="4:16" x14ac:dyDescent="0.3">
      <c r="D130" s="2">
        <v>130</v>
      </c>
      <c r="L130" s="24">
        <f>IF('3. Detention'!$Z$7&gt;0.2*($P130),('3. Detention'!$Z$7-0.2*($P130))^2/('3. Detention'!$Z$7+0.8*($P130)),0)</f>
        <v>9.5873981535302452E-2</v>
      </c>
      <c r="M130" s="24">
        <f>IF('3. Detention'!$AE$7&gt;0.2*($P130),('3. Detention'!$AE$7-0.2*($P130))^2/('3. Detention'!$AE$7+0.8*($P130)),0)</f>
        <v>0.7255178640795229</v>
      </c>
      <c r="N130" s="24">
        <f>IF('3. Detention'!$AJ$7&gt;0.2*($P130),('3. Detention'!$AJ$7-0.2*($P130))^2/('3. Detention'!$AJ$7+0.8*($P130)),0)</f>
        <v>2.3390986204461544</v>
      </c>
      <c r="O130" s="61">
        <f t="shared" si="2"/>
        <v>48.900000000000126</v>
      </c>
      <c r="P130" s="24">
        <f t="shared" si="3"/>
        <v>10.449897750511195</v>
      </c>
    </row>
    <row r="131" spans="4:16" x14ac:dyDescent="0.3">
      <c r="D131" s="2">
        <v>131</v>
      </c>
      <c r="L131" s="24">
        <f>IF('3. Detention'!$Z$7&gt;0.2*($P131),('3. Detention'!$Z$7-0.2*($P131))^2/('3. Detention'!$Z$7+0.8*($P131)),0)</f>
        <v>9.768791266907452E-2</v>
      </c>
      <c r="M131" s="24">
        <f>IF('3. Detention'!$AE$7&gt;0.2*($P131),('3. Detention'!$AE$7-0.2*($P131))^2/('3. Detention'!$AE$7+0.8*($P131)),0)</f>
        <v>0.73117652552764656</v>
      </c>
      <c r="N131" s="24">
        <f>IF('3. Detention'!$AJ$7&gt;0.2*($P131),('3. Detention'!$AJ$7-0.2*($P131))^2/('3. Detention'!$AJ$7+0.8*($P131)),0)</f>
        <v>2.3500488950263954</v>
      </c>
      <c r="O131" s="61">
        <f t="shared" si="2"/>
        <v>49.000000000000128</v>
      </c>
      <c r="P131" s="24">
        <f t="shared" si="3"/>
        <v>10.408163265306069</v>
      </c>
    </row>
    <row r="132" spans="4:16" x14ac:dyDescent="0.3">
      <c r="D132" s="2">
        <v>132</v>
      </c>
      <c r="L132" s="24">
        <f>IF('3. Detention'!$Z$7&gt;0.2*($P132),('3. Detention'!$Z$7-0.2*($P132))^2/('3. Detention'!$Z$7+0.8*($P132)),0)</f>
        <v>9.9517097550232622E-2</v>
      </c>
      <c r="M132" s="24">
        <f>IF('3. Detention'!$AE$7&gt;0.2*($P132),('3. Detention'!$AE$7-0.2*($P132))^2/('3. Detention'!$AE$7+0.8*($P132)),0)</f>
        <v>0.73685014920363312</v>
      </c>
      <c r="N132" s="24">
        <f>IF('3. Detention'!$AJ$7&gt;0.2*($P132),('3. Detention'!$AJ$7-0.2*($P132))^2/('3. Detention'!$AJ$7+0.8*($P132)),0)</f>
        <v>2.3610065840084227</v>
      </c>
      <c r="O132" s="61">
        <f t="shared" si="2"/>
        <v>49.100000000000129</v>
      </c>
      <c r="P132" s="24">
        <f t="shared" si="3"/>
        <v>10.366598778004018</v>
      </c>
    </row>
    <row r="133" spans="4:16" x14ac:dyDescent="0.3">
      <c r="D133" s="2">
        <v>133</v>
      </c>
      <c r="L133" s="24">
        <f>IF('3. Detention'!$Z$7&gt;0.2*($P133),('3. Detention'!$Z$7-0.2*($P133))^2/('3. Detention'!$Z$7+0.8*($P133)),0)</f>
        <v>0.10136150190644509</v>
      </c>
      <c r="M133" s="24">
        <f>IF('3. Detention'!$AE$7&gt;0.2*($P133),('3. Detention'!$AE$7-0.2*($P133))^2/('3. Detention'!$AE$7+0.8*($P133)),0)</f>
        <v>0.74253869136996231</v>
      </c>
      <c r="N133" s="24">
        <f>IF('3. Detention'!$AJ$7&gt;0.2*($P133),('3. Detention'!$AJ$7-0.2*($P133))^2/('3. Detention'!$AJ$7+0.8*($P133)),0)</f>
        <v>2.3719716356991709</v>
      </c>
      <c r="O133" s="61">
        <f t="shared" si="2"/>
        <v>49.200000000000131</v>
      </c>
      <c r="P133" s="24">
        <f t="shared" si="3"/>
        <v>10.325203252032466</v>
      </c>
    </row>
    <row r="134" spans="4:16" x14ac:dyDescent="0.3">
      <c r="D134" s="2">
        <v>134</v>
      </c>
      <c r="L134" s="24">
        <f>IF('3. Detention'!$Z$7&gt;0.2*($P134),('3. Detention'!$Z$7-0.2*($P134))^2/('3. Detention'!$Z$7+0.8*($P134)),0)</f>
        <v>0.10322109194679847</v>
      </c>
      <c r="M134" s="24">
        <f>IF('3. Detention'!$AE$7&gt;0.2*($P134),('3. Detention'!$AE$7-0.2*($P134))^2/('3. Detention'!$AE$7+0.8*($P134)),0)</f>
        <v>0.74824210872314334</v>
      </c>
      <c r="N134" s="24">
        <f>IF('3. Detention'!$AJ$7&gt;0.2*($P134),('3. Detention'!$AJ$7-0.2*($P134))^2/('3. Detention'!$AJ$7+0.8*($P134)),0)</f>
        <v>2.3829439988260721</v>
      </c>
      <c r="O134" s="61">
        <f t="shared" si="2"/>
        <v>49.300000000000132</v>
      </c>
      <c r="P134" s="24">
        <f t="shared" si="3"/>
        <v>10.283975659229153</v>
      </c>
    </row>
    <row r="135" spans="4:16" x14ac:dyDescent="0.3">
      <c r="D135" s="2">
        <v>135</v>
      </c>
      <c r="L135" s="24">
        <f>IF('3. Detention'!$Z$7&gt;0.2*($P135),('3. Detention'!$Z$7-0.2*($P135))^2/('3. Detention'!$Z$7+0.8*($P135)),0)</f>
        <v>0.10509583435780508</v>
      </c>
      <c r="M135" s="24">
        <f>IF('3. Detention'!$AE$7&gt;0.2*($P135),('3. Detention'!$AE$7-0.2*($P135))^2/('3. Detention'!$AE$7+0.8*($P135)),0)</f>
        <v>0.75396035838948616</v>
      </c>
      <c r="N135" s="24">
        <f>IF('3. Detention'!$AJ$7&gt;0.2*($P135),('3. Detention'!$AJ$7-0.2*($P135))^2/('3. Detention'!$AJ$7+0.8*($P135)),0)</f>
        <v>2.3939236225327929</v>
      </c>
      <c r="O135" s="61">
        <f t="shared" si="2"/>
        <v>49.400000000000134</v>
      </c>
      <c r="P135" s="24">
        <f t="shared" si="3"/>
        <v>10.242914979757032</v>
      </c>
    </row>
    <row r="136" spans="4:16" x14ac:dyDescent="0.3">
      <c r="D136" s="2">
        <v>136</v>
      </c>
      <c r="L136" s="24">
        <f>IF('3. Detention'!$Z$7&gt;0.2*($P136),('3. Detention'!$Z$7-0.2*($P136))^2/('3. Detention'!$Z$7+0.8*($P136)),0)</f>
        <v>0.10698569629946464</v>
      </c>
      <c r="M136" s="24">
        <f>IF('3. Detention'!$AE$7&gt;0.2*($P136),('3. Detention'!$AE$7-0.2*($P136))^2/('3. Detention'!$AE$7+0.8*($P136)),0)</f>
        <v>0.75969339792092638</v>
      </c>
      <c r="N136" s="24">
        <f>IF('3. Detention'!$AJ$7&gt;0.2*($P136),('3. Detention'!$AJ$7-0.2*($P136))^2/('3. Detention'!$AJ$7+0.8*($P136)),0)</f>
        <v>2.4049104563750352</v>
      </c>
      <c r="O136" s="61">
        <f t="shared" si="2"/>
        <v>49.500000000000135</v>
      </c>
      <c r="P136" s="24">
        <f t="shared" si="3"/>
        <v>10.202020202020147</v>
      </c>
    </row>
    <row r="137" spans="4:16" x14ac:dyDescent="0.3">
      <c r="D137" s="2">
        <v>137</v>
      </c>
      <c r="L137" s="24">
        <f>IF('3. Detention'!$Z$7&gt;0.2*($P137),('3. Detention'!$Z$7-0.2*($P137))^2/('3. Detention'!$Z$7+0.8*($P137)),0)</f>
        <v>0.10889064540137693</v>
      </c>
      <c r="M137" s="24">
        <f>IF('3. Detention'!$AE$7&gt;0.2*($P137),('3. Detention'!$AE$7-0.2*($P137))^2/('3. Detention'!$AE$7+0.8*($P137)),0)</f>
        <v>0.76544118529089744</v>
      </c>
      <c r="N137" s="24">
        <f>IF('3. Detention'!$AJ$7&gt;0.2*($P137),('3. Detention'!$AJ$7-0.2*($P137))^2/('3. Detention'!$AJ$7+0.8*($P137)),0)</f>
        <v>2.4159044503163778</v>
      </c>
      <c r="O137" s="61">
        <f t="shared" si="2"/>
        <v>49.600000000000136</v>
      </c>
      <c r="P137" s="24">
        <f t="shared" si="3"/>
        <v>10.161290322580591</v>
      </c>
    </row>
    <row r="138" spans="4:16" x14ac:dyDescent="0.3">
      <c r="D138" s="2">
        <v>138</v>
      </c>
      <c r="L138" s="24">
        <f>IF('3. Detention'!$Z$7&gt;0.2*($P138),('3. Detention'!$Z$7-0.2*($P138))^2/('3. Detention'!$Z$7+0.8*($P138)),0)</f>
        <v>0.11081064975890723</v>
      </c>
      <c r="M138" s="24">
        <f>IF('3. Detention'!$AE$7&gt;0.2*($P138),('3. Detention'!$AE$7-0.2*($P138))^2/('3. Detention'!$AE$7+0.8*($P138)),0)</f>
        <v>0.7712036788902582</v>
      </c>
      <c r="N138" s="24">
        <f>IF('3. Detention'!$AJ$7&gt;0.2*($P138),('3. Detention'!$AJ$7-0.2*($P138))^2/('3. Detention'!$AJ$7+0.8*($P138)),0)</f>
        <v>2.4269055547241769</v>
      </c>
      <c r="O138" s="61">
        <f t="shared" si="2"/>
        <v>49.700000000000138</v>
      </c>
      <c r="P138" s="24">
        <f t="shared" si="3"/>
        <v>10.120724346076404</v>
      </c>
    </row>
    <row r="139" spans="4:16" x14ac:dyDescent="0.3">
      <c r="D139" s="2">
        <v>139</v>
      </c>
      <c r="L139" s="24">
        <f>IF('3. Detention'!$Z$7&gt;0.2*($P139),('3. Detention'!$Z$7-0.2*($P139))^2/('3. Detention'!$Z$7+0.8*($P139)),0)</f>
        <v>0.11274567792940141</v>
      </c>
      <c r="M139" s="24">
        <f>IF('3. Detention'!$AE$7&gt;0.2*($P139),('3. Detention'!$AE$7-0.2*($P139))^2/('3. Detention'!$AE$7+0.8*($P139)),0)</f>
        <v>0.77698083752326519</v>
      </c>
      <c r="N139" s="24">
        <f>IF('3. Detention'!$AJ$7&gt;0.2*($P139),('3. Detention'!$AJ$7-0.2*($P139))^2/('3. Detention'!$AJ$7+0.8*($P139)),0)</f>
        <v>2.4379137203655072</v>
      </c>
      <c r="O139" s="61">
        <f t="shared" si="2"/>
        <v>49.800000000000139</v>
      </c>
      <c r="P139" s="24">
        <f t="shared" si="3"/>
        <v>10.080321285140506</v>
      </c>
    </row>
    <row r="140" spans="4:16" x14ac:dyDescent="0.3">
      <c r="D140" s="2">
        <v>140</v>
      </c>
      <c r="L140" s="24">
        <f>IF('3. Detention'!$Z$7&gt;0.2*($P140),('3. Detention'!$Z$7-0.2*($P140))^2/('3. Detention'!$Z$7+0.8*($P140)),0)</f>
        <v>0.11469569892845231</v>
      </c>
      <c r="M140" s="24">
        <f>IF('3. Detention'!$AE$7&gt;0.2*($P140),('3. Detention'!$AE$7-0.2*($P140))^2/('3. Detention'!$AE$7+0.8*($P140)),0)</f>
        <v>0.78277262040359674</v>
      </c>
      <c r="N140" s="24">
        <f>IF('3. Detention'!$AJ$7&gt;0.2*($P140),('3. Detention'!$AJ$7-0.2*($P140))^2/('3. Detention'!$AJ$7+0.8*($P140)),0)</f>
        <v>2.4489288984031621</v>
      </c>
      <c r="O140" s="61">
        <f t="shared" si="2"/>
        <v>49.900000000000141</v>
      </c>
      <c r="P140" s="24">
        <f t="shared" si="3"/>
        <v>10.040080160320585</v>
      </c>
    </row>
    <row r="141" spans="4:16" x14ac:dyDescent="0.3">
      <c r="D141" s="2">
        <v>141</v>
      </c>
      <c r="L141" s="24">
        <f>IF('3. Detention'!$Z$7&gt;0.2*($P141),('3. Detention'!$Z$7-0.2*($P141))^2/('3. Detention'!$Z$7+0.8*($P141)),0)</f>
        <v>0.11666068222621467</v>
      </c>
      <c r="M141" s="24">
        <f>IF('3. Detention'!$AE$7&gt;0.2*($P141),('3. Detention'!$AE$7-0.2*($P141))^2/('3. Detention'!$AE$7+0.8*($P141)),0)</f>
        <v>0.7885789871504244</v>
      </c>
      <c r="N141" s="24">
        <f>IF('3. Detention'!$AJ$7&gt;0.2*($P141),('3. Detention'!$AJ$7-0.2*($P141))^2/('3. Detention'!$AJ$7+0.8*($P141)),0)</f>
        <v>2.4599510403916929</v>
      </c>
      <c r="O141" s="61">
        <f t="shared" si="2"/>
        <v>50.000000000000142</v>
      </c>
      <c r="P141" s="24">
        <f t="shared" si="3"/>
        <v>9.9999999999999432</v>
      </c>
    </row>
    <row r="142" spans="4:16" x14ac:dyDescent="0.3">
      <c r="D142" s="2">
        <v>142</v>
      </c>
      <c r="L142" s="24">
        <f>IF('3. Detention'!$Z$7&gt;0.2*($P142),('3. Detention'!$Z$7-0.2*($P142))^2/('3. Detention'!$Z$7+0.8*($P142)),0)</f>
        <v>0.11864059774376941</v>
      </c>
      <c r="M142" s="24">
        <f>IF('3. Detention'!$AE$7&gt;0.2*($P142),('3. Detention'!$AE$7-0.2*($P142))^2/('3. Detention'!$AE$7+0.8*($P142)),0)</f>
        <v>0.79439989778452991</v>
      </c>
      <c r="N142" s="24">
        <f>IF('3. Detention'!$AJ$7&gt;0.2*($P142),('3. Detention'!$AJ$7-0.2*($P142))^2/('3. Detention'!$AJ$7+0.8*($P142)),0)</f>
        <v>2.470980098273496</v>
      </c>
      <c r="O142" s="61">
        <f t="shared" si="2"/>
        <v>50.100000000000144</v>
      </c>
      <c r="P142" s="24">
        <f t="shared" si="3"/>
        <v>9.9600798403193025</v>
      </c>
    </row>
    <row r="143" spans="4:16" x14ac:dyDescent="0.3">
      <c r="D143" s="2">
        <v>143</v>
      </c>
      <c r="L143" s="24">
        <f>IF('3. Detention'!$Z$7&gt;0.2*($P143),('3. Detention'!$Z$7-0.2*($P143))^2/('3. Detention'!$Z$7+0.8*($P143)),0)</f>
        <v>0.12063541584953576</v>
      </c>
      <c r="M143" s="24">
        <f>IF('3. Detention'!$AE$7&gt;0.2*($P143),('3. Detention'!$AE$7-0.2*($P143))^2/('3. Detention'!$AE$7+0.8*($P143)),0)</f>
        <v>0.80023531272447335</v>
      </c>
      <c r="N143" s="24">
        <f>IF('3. Detention'!$AJ$7&gt;0.2*($P143),('3. Detention'!$AJ$7-0.2*($P143))^2/('3. Detention'!$AJ$7+0.8*($P143)),0)</f>
        <v>2.4820160243749565</v>
      </c>
      <c r="O143" s="61">
        <f t="shared" si="2"/>
        <v>50.200000000000145</v>
      </c>
      <c r="P143" s="24">
        <f t="shared" si="3"/>
        <v>9.9203187250995448</v>
      </c>
    </row>
    <row r="144" spans="4:16" x14ac:dyDescent="0.3">
      <c r="D144" s="2">
        <v>144</v>
      </c>
      <c r="L144" s="24">
        <f>IF('3. Detention'!$Z$7&gt;0.2*($P144),('3. Detention'!$Z$7-0.2*($P144))^2/('3. Detention'!$Z$7+0.8*($P144)),0)</f>
        <v>0.12264510735573175</v>
      </c>
      <c r="M144" s="24">
        <f>IF('3. Detention'!$AE$7&gt;0.2*($P144),('3. Detention'!$AE$7-0.2*($P144))^2/('3. Detention'!$AE$7+0.8*($P144)),0)</f>
        <v>0.80608519278280344</v>
      </c>
      <c r="N144" s="24">
        <f>IF('3. Detention'!$AJ$7&gt;0.2*($P144),('3. Detention'!$AJ$7-0.2*($P144))^2/('3. Detention'!$AJ$7+0.8*($P144)),0)</f>
        <v>2.4930587714026267</v>
      </c>
      <c r="O144" s="61">
        <f t="shared" si="2"/>
        <v>50.300000000000146</v>
      </c>
      <c r="P144" s="24">
        <f t="shared" si="3"/>
        <v>9.8807157057653505</v>
      </c>
    </row>
    <row r="145" spans="4:16" x14ac:dyDescent="0.3">
      <c r="D145" s="2">
        <v>145</v>
      </c>
      <c r="L145" s="24">
        <f>IF('3. Detention'!$Z$7&gt;0.2*($P145),('3. Detention'!$Z$7-0.2*($P145))^2/('3. Detention'!$Z$7+0.8*($P145)),0)</f>
        <v>0.12466964351488023</v>
      </c>
      <c r="M145" s="24">
        <f>IF('3. Detention'!$AE$7&gt;0.2*($P145),('3. Detention'!$AE$7-0.2*($P145))^2/('3. Detention'!$AE$7+0.8*($P145)),0)</f>
        <v>0.81194949916231518</v>
      </c>
      <c r="N145" s="24">
        <f>IF('3. Detention'!$AJ$7&gt;0.2*($P145),('3. Detention'!$AJ$7-0.2*($P145))^2/('3. Detention'!$AJ$7+0.8*($P145)),0)</f>
        <v>2.5041082924394558</v>
      </c>
      <c r="O145" s="61">
        <f t="shared" si="2"/>
        <v>50.400000000000148</v>
      </c>
      <c r="P145" s="24">
        <f t="shared" si="3"/>
        <v>9.8412698412697814</v>
      </c>
    </row>
    <row r="146" spans="4:16" x14ac:dyDescent="0.3">
      <c r="D146" s="2">
        <v>146</v>
      </c>
      <c r="L146" s="24">
        <f>IF('3. Detention'!$Z$7&gt;0.2*($P146),('3. Detention'!$Z$7-0.2*($P146))^2/('3. Detention'!$Z$7+0.8*($P146)),0)</f>
        <v>0.12670899601636176</v>
      </c>
      <c r="M146" s="24">
        <f>IF('3. Detention'!$AE$7&gt;0.2*($P146),('3. Detention'!$AE$7-0.2*($P146))^2/('3. Detention'!$AE$7+0.8*($P146)),0)</f>
        <v>0.81782819345234981</v>
      </c>
      <c r="N146" s="24">
        <f>IF('3. Detention'!$AJ$7&gt;0.2*($P146),('3. Detention'!$AJ$7-0.2*($P146))^2/('3. Detention'!$AJ$7+0.8*($P146)),0)</f>
        <v>2.515164540941059</v>
      </c>
      <c r="O146" s="61">
        <f t="shared" si="2"/>
        <v>50.500000000000149</v>
      </c>
      <c r="P146" s="24">
        <f t="shared" si="3"/>
        <v>9.801980198019745</v>
      </c>
    </row>
    <row r="147" spans="4:16" x14ac:dyDescent="0.3">
      <c r="D147" s="2">
        <v>147</v>
      </c>
      <c r="L147" s="24">
        <f>IF('3. Detention'!$Z$7&gt;0.2*($P147),('3. Detention'!$Z$7-0.2*($P147))^2/('3. Detention'!$Z$7+0.8*($P147)),0)</f>
        <v>0.12876313698301436</v>
      </c>
      <c r="M147" s="24">
        <f>IF('3. Detention'!$AE$7&gt;0.2*($P147),('3. Detention'!$AE$7-0.2*($P147))^2/('3. Detention'!$AE$7+0.8*($P147)),0)</f>
        <v>0.82372123762514526</v>
      </c>
      <c r="N147" s="24">
        <f>IF('3. Detention'!$AJ$7&gt;0.2*($P147),('3. Detention'!$AJ$7-0.2*($P147))^2/('3. Detention'!$AJ$7+0.8*($P147)),0)</f>
        <v>2.5262274707320422</v>
      </c>
      <c r="O147" s="61">
        <f t="shared" si="2"/>
        <v>50.600000000000151</v>
      </c>
      <c r="P147" s="24">
        <f t="shared" si="3"/>
        <v>9.7628458498023143</v>
      </c>
    </row>
    <row r="148" spans="4:16" x14ac:dyDescent="0.3">
      <c r="D148" s="2">
        <v>148</v>
      </c>
      <c r="L148" s="24">
        <f>IF('3. Detention'!$Z$7&gt;0.2*($P148),('3. Detention'!$Z$7-0.2*($P148))^2/('3. Detention'!$Z$7+0.8*($P148)),0)</f>
        <v>0.13083203896777629</v>
      </c>
      <c r="M148" s="24">
        <f>IF('3. Detention'!$AE$7&gt;0.2*($P148),('3. Detention'!$AE$7-0.2*($P148))^2/('3. Detention'!$AE$7+0.8*($P148)),0)</f>
        <v>0.82962859403222344</v>
      </c>
      <c r="N148" s="24">
        <f>IF('3. Detention'!$AJ$7&gt;0.2*($P148),('3. Detention'!$AJ$7-0.2*($P148))^2/('3. Detention'!$AJ$7+0.8*($P148)),0)</f>
        <v>2.5372970360023577</v>
      </c>
      <c r="O148" s="61">
        <f t="shared" si="2"/>
        <v>50.700000000000152</v>
      </c>
      <c r="P148" s="24">
        <f t="shared" si="3"/>
        <v>9.7238658777119724</v>
      </c>
    </row>
    <row r="149" spans="4:16" x14ac:dyDescent="0.3">
      <c r="D149" s="2">
        <v>149</v>
      </c>
      <c r="L149" s="24">
        <f>IF('3. Detention'!$Z$7&gt;0.2*($P149),('3. Detention'!$Z$7-0.2*($P149))^2/('3. Detention'!$Z$7+0.8*($P149)),0)</f>
        <v>0.13291567495037424</v>
      </c>
      <c r="M149" s="24">
        <f>IF('3. Detention'!$AE$7&gt;0.2*($P149),('3. Detention'!$AE$7-0.2*($P149))^2/('3. Detention'!$AE$7+0.8*($P149)),0)</f>
        <v>0.83555022540082236</v>
      </c>
      <c r="N149" s="24">
        <f>IF('3. Detention'!$AJ$7&gt;0.2*($P149),('3. Detention'!$AJ$7-0.2*($P149))^2/('3. Detention'!$AJ$7+0.8*($P149)),0)</f>
        <v>2.5483731913037073</v>
      </c>
      <c r="O149" s="61">
        <f t="shared" si="2"/>
        <v>50.800000000000153</v>
      </c>
      <c r="P149" s="24">
        <f t="shared" si="3"/>
        <v>9.6850393700786803</v>
      </c>
    </row>
    <row r="150" spans="4:16" x14ac:dyDescent="0.3">
      <c r="D150" s="2">
        <v>150</v>
      </c>
      <c r="L150" s="24">
        <f>IF('3. Detention'!$Z$7&gt;0.2*($P150),('3. Detention'!$Z$7-0.2*($P150))^2/('3. Detention'!$Z$7+0.8*($P150)),0)</f>
        <v>0.13501401833405599</v>
      </c>
      <c r="M150" s="24">
        <f>IF('3. Detention'!$AE$7&gt;0.2*($P150),('3. Detention'!$AE$7-0.2*($P150))^2/('3. Detention'!$AE$7+0.8*($P150)),0)</f>
        <v>0.84148609483037395</v>
      </c>
      <c r="N150" s="24">
        <f>IF('3. Detention'!$AJ$7&gt;0.2*($P150),('3. Detention'!$AJ$7-0.2*($P150))^2/('3. Detention'!$AJ$7+0.8*($P150)),0)</f>
        <v>2.5594558915459911</v>
      </c>
      <c r="O150" s="61">
        <f t="shared" si="2"/>
        <v>50.900000000000155</v>
      </c>
      <c r="P150" s="24">
        <f t="shared" si="3"/>
        <v>9.6463654223967978</v>
      </c>
    </row>
    <row r="151" spans="4:16" x14ac:dyDescent="0.3">
      <c r="D151" s="2">
        <v>151</v>
      </c>
      <c r="L151" s="24">
        <f>IF('3. Detention'!$Z$7&gt;0.2*($P151),('3. Detention'!$Z$7-0.2*($P151))^2/('3. Detention'!$Z$7+0.8*($P151)),0)</f>
        <v>0.13712704294236586</v>
      </c>
      <c r="M151" s="24">
        <f>IF('3. Detention'!$AE$7&gt;0.2*($P151),('3. Detention'!$AE$7-0.2*($P151))^2/('3. Detention'!$AE$7+0.8*($P151)),0)</f>
        <v>0.84743616578902148</v>
      </c>
      <c r="N151" s="24">
        <f>IF('3. Detention'!$AJ$7&gt;0.2*($P151),('3. Detention'!$AJ$7-0.2*($P151))^2/('3. Detention'!$AJ$7+0.8*($P151)),0)</f>
        <v>2.5705450919937967</v>
      </c>
      <c r="O151" s="61">
        <f t="shared" si="2"/>
        <v>51.000000000000156</v>
      </c>
      <c r="P151" s="24">
        <f t="shared" si="3"/>
        <v>9.607843137254843</v>
      </c>
    </row>
    <row r="152" spans="4:16" x14ac:dyDescent="0.3">
      <c r="D152" s="2">
        <v>152</v>
      </c>
      <c r="L152" s="24">
        <f>IF('3. Detention'!$Z$7&gt;0.2*($P152),('3. Detention'!$Z$7-0.2*($P152))^2/('3. Detention'!$Z$7+0.8*($P152)),0)</f>
        <v>0.1392547230159622</v>
      </c>
      <c r="M152" s="24">
        <f>IF('3. Detention'!$AE$7&gt;0.2*($P152),('3. Detention'!$AE$7-0.2*($P152))^2/('3. Detention'!$AE$7+0.8*($P152)),0)</f>
        <v>0.85340040211017631</v>
      </c>
      <c r="N152" s="24">
        <f>IF('3. Detention'!$AJ$7&gt;0.2*($P152),('3. Detention'!$AJ$7-0.2*($P152))^2/('3. Detention'!$AJ$7+0.8*($P152)),0)</f>
        <v>2.5816407482629247</v>
      </c>
      <c r="O152" s="61">
        <f t="shared" si="2"/>
        <v>51.100000000000158</v>
      </c>
      <c r="P152" s="24">
        <f t="shared" si="3"/>
        <v>9.569471624266086</v>
      </c>
    </row>
    <row r="153" spans="4:16" x14ac:dyDescent="0.3">
      <c r="D153" s="2">
        <v>153</v>
      </c>
      <c r="L153" s="24">
        <f>IF('3. Detention'!$Z$7&gt;0.2*($P153),('3. Detention'!$Z$7-0.2*($P153))^2/('3. Detention'!$Z$7+0.8*($P153)),0)</f>
        <v>0.14139703320947855</v>
      </c>
      <c r="M153" s="24">
        <f>IF('3. Detention'!$AE$7&gt;0.2*($P153),('3. Detention'!$AE$7-0.2*($P153))^2/('3. Detention'!$AE$7+0.8*($P153)),0)</f>
        <v>0.85937876798911894</v>
      </c>
      <c r="N153" s="24">
        <f>IF('3. Detention'!$AJ$7&gt;0.2*($P153),('3. Detention'!$AJ$7-0.2*($P153))^2/('3. Detention'!$AJ$7+0.8*($P153)),0)</f>
        <v>2.592742816316961</v>
      </c>
      <c r="O153" s="61">
        <f t="shared" si="2"/>
        <v>51.200000000000159</v>
      </c>
      <c r="P153" s="24">
        <f t="shared" si="3"/>
        <v>9.5312499999999396</v>
      </c>
    </row>
    <row r="154" spans="4:16" x14ac:dyDescent="0.3">
      <c r="D154" s="2">
        <v>154</v>
      </c>
      <c r="L154" s="24">
        <f>IF('3. Detention'!$Z$7&gt;0.2*($P154),('3. Detention'!$Z$7-0.2*($P154))^2/('3. Detention'!$Z$7+0.8*($P154)),0)</f>
        <v>0.14355394858842507</v>
      </c>
      <c r="M154" s="24">
        <f>IF('3. Detention'!$AE$7&gt;0.2*($P154),('3. Detention'!$AE$7-0.2*($P154))^2/('3. Detention'!$AE$7+0.8*($P154)),0)</f>
        <v>0.86537122797963728</v>
      </c>
      <c r="N154" s="24">
        <f>IF('3. Detention'!$AJ$7&gt;0.2*($P154),('3. Detention'!$AJ$7-0.2*($P154))^2/('3. Detention'!$AJ$7+0.8*($P154)),0)</f>
        <v>2.6038512524638855</v>
      </c>
      <c r="O154" s="61">
        <f t="shared" si="2"/>
        <v>51.300000000000161</v>
      </c>
      <c r="P154" s="24">
        <f t="shared" si="3"/>
        <v>9.4931773879141694</v>
      </c>
    </row>
    <row r="155" spans="4:16" x14ac:dyDescent="0.3">
      <c r="D155" s="2">
        <v>155</v>
      </c>
      <c r="L155" s="24">
        <f>IF('3. Detention'!$Z$7&gt;0.2*($P155),('3. Detention'!$Z$7-0.2*($P155))^2/('3. Detention'!$Z$7+0.8*($P155)),0)</f>
        <v>0.14572544462613227</v>
      </c>
      <c r="M155" s="24">
        <f>IF('3. Detention'!$AE$7&gt;0.2*($P155),('3. Detention'!$AE$7-0.2*($P155))^2/('3. Detention'!$AE$7+0.8*($P155)),0)</f>
        <v>0.8713777469907088</v>
      </c>
      <c r="N155" s="24">
        <f>IF('3. Detention'!$AJ$7&gt;0.2*($P155),('3. Detention'!$AJ$7-0.2*($P155))^2/('3. Detention'!$AJ$7+0.8*($P155)),0)</f>
        <v>2.6149660133527246</v>
      </c>
      <c r="O155" s="61">
        <f t="shared" ref="O155:O218" si="4">O154+0.1</f>
        <v>51.400000000000162</v>
      </c>
      <c r="P155" s="24">
        <f t="shared" si="3"/>
        <v>9.4552529182878757</v>
      </c>
    </row>
    <row r="156" spans="4:16" x14ac:dyDescent="0.3">
      <c r="D156" s="2">
        <v>156</v>
      </c>
      <c r="L156" s="24">
        <f>IF('3. Detention'!$Z$7&gt;0.2*($P156),('3. Detention'!$Z$7-0.2*($P156))^2/('3. Detention'!$Z$7+0.8*($P156)),0)</f>
        <v>0.14791149720073415</v>
      </c>
      <c r="M156" s="24">
        <f>IF('3. Detention'!$AE$7&gt;0.2*($P156),('3. Detention'!$AE$7-0.2*($P156))^2/('3. Detention'!$AE$7+0.8*($P156)),0)</f>
        <v>0.87739829028321537</v>
      </c>
      <c r="N156" s="24">
        <f>IF('3. Detention'!$AJ$7&gt;0.2*($P156),('3. Detention'!$AJ$7-0.2*($P156))^2/('3. Detention'!$AJ$7+0.8*($P156)),0)</f>
        <v>2.6260870559702374</v>
      </c>
      <c r="O156" s="61">
        <f t="shared" si="4"/>
        <v>51.500000000000163</v>
      </c>
      <c r="P156" s="24">
        <f t="shared" si="3"/>
        <v>9.4174757281552779</v>
      </c>
    </row>
    <row r="157" spans="4:16" x14ac:dyDescent="0.3">
      <c r="D157" s="2">
        <v>157</v>
      </c>
      <c r="L157" s="24">
        <f>IF('3. Detention'!$Z$7&gt;0.2*($P157),('3. Detention'!$Z$7-0.2*($P157))^2/('3. Detention'!$Z$7+0.8*($P157)),0)</f>
        <v>0.15011208259219258</v>
      </c>
      <c r="M157" s="24">
        <f>IF('3. Detention'!$AE$7&gt;0.2*($P157),('3. Detention'!$AE$7-0.2*($P157))^2/('3. Detention'!$AE$7+0.8*($P157)),0)</f>
        <v>0.88343282346670204</v>
      </c>
      <c r="N157" s="24">
        <f>IF('3. Detention'!$AJ$7&gt;0.2*($P157),('3. Detention'!$AJ$7-0.2*($P157))^2/('3. Detention'!$AJ$7+0.8*($P157)),0)</f>
        <v>2.6372143376376407</v>
      </c>
      <c r="O157" s="61">
        <f t="shared" si="4"/>
        <v>51.600000000000165</v>
      </c>
      <c r="P157" s="24">
        <f t="shared" si="3"/>
        <v>9.3798449612402486</v>
      </c>
    </row>
    <row r="158" spans="4:16" x14ac:dyDescent="0.3">
      <c r="D158" s="2">
        <v>158</v>
      </c>
      <c r="L158" s="24">
        <f>IF('3. Detention'!$Z$7&gt;0.2*($P158),('3. Detention'!$Z$7-0.2*($P158))^2/('3. Detention'!$Z$7+0.8*($P158)),0)</f>
        <v>0.15232717747936061</v>
      </c>
      <c r="M158" s="24">
        <f>IF('3. Detention'!$AE$7&gt;0.2*($P158),('3. Detention'!$AE$7-0.2*($P158))^2/('3. Detention'!$AE$7+0.8*($P158)),0)</f>
        <v>0.88948131249617346</v>
      </c>
      <c r="N158" s="24">
        <f>IF('3. Detention'!$AJ$7&gt;0.2*($P158),('3. Detention'!$AJ$7-0.2*($P158))^2/('3. Detention'!$AJ$7+0.8*($P158)),0)</f>
        <v>2.6483478160073815</v>
      </c>
      <c r="O158" s="61">
        <f t="shared" si="4"/>
        <v>51.700000000000166</v>
      </c>
      <c r="P158" s="24">
        <f t="shared" si="3"/>
        <v>9.3423597678916188</v>
      </c>
    </row>
    <row r="159" spans="4:16" x14ac:dyDescent="0.3">
      <c r="D159" s="2">
        <v>159</v>
      </c>
      <c r="L159" s="24">
        <f>IF('3. Detention'!$Z$7&gt;0.2*($P159),('3. Detention'!$Z$7-0.2*($P159))^2/('3. Detention'!$Z$7+0.8*($P159)),0)</f>
        <v>0.15455675893708407</v>
      </c>
      <c r="M159" s="24">
        <f>IF('3. Detention'!$AE$7&gt;0.2*($P159),('3. Detention'!$AE$7-0.2*($P159))^2/('3. Detention'!$AE$7+0.8*($P159)),0)</f>
        <v>0.89554372366892221</v>
      </c>
      <c r="N159" s="24">
        <f>IF('3. Detention'!$AJ$7&gt;0.2*($P159),('3. Detention'!$AJ$7-0.2*($P159))^2/('3. Detention'!$AJ$7+0.8*($P159)),0)</f>
        <v>2.6594874490599292</v>
      </c>
      <c r="O159" s="61">
        <f t="shared" si="4"/>
        <v>51.800000000000168</v>
      </c>
      <c r="P159" s="24">
        <f t="shared" si="3"/>
        <v>9.3050193050192433</v>
      </c>
    </row>
    <row r="160" spans="4:16" x14ac:dyDescent="0.3">
      <c r="D160" s="2">
        <v>160</v>
      </c>
      <c r="L160" s="24">
        <f>IF('3. Detention'!$Z$7&gt;0.2*($P160),('3. Detention'!$Z$7-0.2*($P160))^2/('3. Detention'!$Z$7+0.8*($P160)),0)</f>
        <v>0.15680080443334421</v>
      </c>
      <c r="M160" s="24">
        <f>IF('3. Detention'!$AE$7&gt;0.2*($P160),('3. Detention'!$AE$7-0.2*($P160))^2/('3. Detention'!$AE$7+0.8*($P160)),0)</f>
        <v>0.90162002362140503</v>
      </c>
      <c r="N160" s="24">
        <f>IF('3. Detention'!$AJ$7&gt;0.2*($P160),('3. Detention'!$AJ$7-0.2*($P160))^2/('3. Detention'!$AJ$7+0.8*($P160)),0)</f>
        <v>2.6706331951006286</v>
      </c>
      <c r="O160" s="61">
        <f t="shared" si="4"/>
        <v>51.900000000000169</v>
      </c>
      <c r="P160" s="24">
        <f t="shared" si="3"/>
        <v>9.2678227360307659</v>
      </c>
    </row>
    <row r="161" spans="4:16" x14ac:dyDescent="0.3">
      <c r="D161" s="2">
        <v>161</v>
      </c>
      <c r="L161" s="24">
        <f>IF('3. Detention'!$Z$7&gt;0.2*($P161),('3. Detention'!$Z$7-0.2*($P161))^2/('3. Detention'!$Z$7+0.8*($P161)),0)</f>
        <v>0.15905929182643508</v>
      </c>
      <c r="M161" s="24">
        <f>IF('3. Detention'!$AE$7&gt;0.2*($P161),('3. Detention'!$AE$7-0.2*($P161))^2/('3. Detention'!$AE$7+0.8*($P161)),0)</f>
        <v>0.90771017932614229</v>
      </c>
      <c r="N161" s="24">
        <f>IF('3. Detention'!$AJ$7&gt;0.2*($P161),('3. Detention'!$AJ$7-0.2*($P161))^2/('3. Detention'!$AJ$7+0.8*($P161)),0)</f>
        <v>2.6817850127565612</v>
      </c>
      <c r="O161" s="61">
        <f t="shared" si="4"/>
        <v>52.000000000000171</v>
      </c>
      <c r="P161" s="24">
        <f t="shared" si="3"/>
        <v>9.230769230769166</v>
      </c>
    </row>
    <row r="162" spans="4:16" x14ac:dyDescent="0.3">
      <c r="D162" s="2">
        <v>162</v>
      </c>
      <c r="L162" s="24">
        <f>IF('3. Detention'!$Z$7&gt;0.2*($P162),('3. Detention'!$Z$7-0.2*($P162))^2/('3. Detention'!$Z$7+0.8*($P162)),0)</f>
        <v>0.16133219936218099</v>
      </c>
      <c r="M162" s="24">
        <f>IF('3. Detention'!$AE$7&gt;0.2*($P162),('3. Detention'!$AE$7-0.2*($P162))^2/('3. Detention'!$AE$7+0.8*($P162)),0)</f>
        <v>0.91381415808866351</v>
      </c>
      <c r="N162" s="24">
        <f>IF('3. Detention'!$AJ$7&gt;0.2*($P162),('3. Detention'!$AJ$7-0.2*($P162))^2/('3. Detention'!$AJ$7+0.8*($P162)),0)</f>
        <v>2.6929428609734671</v>
      </c>
      <c r="O162" s="61">
        <f t="shared" si="4"/>
        <v>52.100000000000172</v>
      </c>
      <c r="P162" s="24">
        <f t="shared" si="3"/>
        <v>9.1938579654509915</v>
      </c>
    </row>
    <row r="163" spans="4:16" x14ac:dyDescent="0.3">
      <c r="D163" s="2">
        <v>163</v>
      </c>
      <c r="L163" s="24">
        <f>IF('3. Detention'!$Z$7&gt;0.2*($P163),('3. Detention'!$Z$7-0.2*($P163))^2/('3. Detention'!$Z$7+0.8*($P163)),0)</f>
        <v>0.16361950567119038</v>
      </c>
      <c r="M163" s="24">
        <f>IF('3. Detention'!$AE$7&gt;0.2*($P163),('3. Detention'!$AE$7-0.2*($P163))^2/('3. Detention'!$AE$7+0.8*($P163)),0)</f>
        <v>0.91993192754448594</v>
      </c>
      <c r="N163" s="24">
        <f>IF('3. Detention'!$AJ$7&gt;0.2*($P163),('3. Detention'!$AJ$7-0.2*($P163))^2/('3. Detention'!$AJ$7+0.8*($P163)),0)</f>
        <v>2.7041066990126903</v>
      </c>
      <c r="O163" s="61">
        <f t="shared" si="4"/>
        <v>52.200000000000173</v>
      </c>
      <c r="P163" s="24">
        <f t="shared" si="3"/>
        <v>9.1570881226053018</v>
      </c>
    </row>
    <row r="164" spans="4:16" x14ac:dyDescent="0.3">
      <c r="D164" s="2">
        <v>164</v>
      </c>
      <c r="L164" s="24">
        <f>IF('3. Detention'!$Z$7&gt;0.2*($P164),('3. Detention'!$Z$7-0.2*($P164))^2/('3. Detention'!$Z$7+0.8*($P164)),0)</f>
        <v>0.16592118976614642</v>
      </c>
      <c r="M164" s="24">
        <f>IF('3. Detention'!$AE$7&gt;0.2*($P164),('3. Detention'!$AE$7-0.2*($P164))^2/('3. Detention'!$AE$7+0.8*($P164)),0)</f>
        <v>0.92606345565612636</v>
      </c>
      <c r="N164" s="24">
        <f>IF('3. Detention'!$AJ$7&gt;0.2*($P164),('3. Detention'!$AJ$7-0.2*($P164))^2/('3. Detention'!$AJ$7+0.8*($P164)),0)</f>
        <v>2.7152764864481624</v>
      </c>
      <c r="O164" s="61">
        <f t="shared" si="4"/>
        <v>52.300000000000175</v>
      </c>
      <c r="P164" s="24">
        <f t="shared" si="3"/>
        <v>9.1204588910133211</v>
      </c>
    </row>
    <row r="165" spans="4:16" x14ac:dyDescent="0.3">
      <c r="D165" s="2">
        <v>165</v>
      </c>
      <c r="L165" s="24">
        <f>IF('3. Detention'!$Z$7&gt;0.2*($P165),('3. Detention'!$Z$7-0.2*($P165))^2/('3. Detention'!$Z$7+0.8*($P165)),0)</f>
        <v>0.16823723103913257</v>
      </c>
      <c r="M165" s="24">
        <f>IF('3. Detention'!$AE$7&gt;0.2*($P165),('3. Detention'!$AE$7-0.2*($P165))^2/('3. Detention'!$AE$7+0.8*($P165)),0)</f>
        <v>0.93220871071014733</v>
      </c>
      <c r="N165" s="24">
        <f>IF('3. Detention'!$AJ$7&gt;0.2*($P165),('3. Detention'!$AJ$7-0.2*($P165))^2/('3. Detention'!$AJ$7+0.8*($P165)),0)</f>
        <v>2.7264521831634134</v>
      </c>
      <c r="O165" s="61">
        <f t="shared" si="4"/>
        <v>52.400000000000176</v>
      </c>
      <c r="P165" s="24">
        <f t="shared" si="3"/>
        <v>9.0839694656487922</v>
      </c>
    </row>
    <row r="166" spans="4:16" x14ac:dyDescent="0.3">
      <c r="D166" s="2">
        <v>166</v>
      </c>
      <c r="L166" s="24">
        <f>IF('3. Detention'!$Z$7&gt;0.2*($P166),('3. Detention'!$Z$7-0.2*($P166))^2/('3. Detention'!$Z$7+0.8*($P166)),0)</f>
        <v>0.17056760925899631</v>
      </c>
      <c r="M166" s="24">
        <f>IF('3. Detention'!$AE$7&gt;0.2*($P166),('3. Detention'!$AE$7-0.2*($P166))^2/('3. Detention'!$AE$7+0.8*($P166)),0)</f>
        <v>0.93836766131424065</v>
      </c>
      <c r="N166" s="24">
        <f>IF('3. Detention'!$AJ$7&gt;0.2*($P166),('3. Detention'!$AJ$7-0.2*($P166))^2/('3. Detention'!$AJ$7+0.8*($P166)),0)</f>
        <v>2.7376337493486309</v>
      </c>
      <c r="O166" s="61">
        <f t="shared" si="4"/>
        <v>52.500000000000178</v>
      </c>
      <c r="P166" s="24">
        <f t="shared" si="3"/>
        <v>9.0476190476189835</v>
      </c>
    </row>
    <row r="167" spans="4:16" x14ac:dyDescent="0.3">
      <c r="D167" s="2">
        <v>167</v>
      </c>
      <c r="L167" s="24">
        <f>IF('3. Detention'!$Z$7&gt;0.2*($P167),('3. Detention'!$Z$7-0.2*($P167))^2/('3. Detention'!$Z$7+0.8*($P167)),0)</f>
        <v>0.17291230456874596</v>
      </c>
      <c r="M167" s="24">
        <f>IF('3. Detention'!$AE$7&gt;0.2*($P167),('3. Detention'!$AE$7-0.2*($P167))^2/('3. Detention'!$AE$7+0.8*($P167)),0)</f>
        <v>0.94454027639434301</v>
      </c>
      <c r="N167" s="24">
        <f>IF('3. Detention'!$AJ$7&gt;0.2*($P167),('3. Detention'!$AJ$7-0.2*($P167))^2/('3. Detention'!$AJ$7+0.8*($P167)),0)</f>
        <v>2.7488211454977414</v>
      </c>
      <c r="O167" s="61">
        <f t="shared" si="4"/>
        <v>52.600000000000179</v>
      </c>
      <c r="P167" s="24">
        <f t="shared" si="3"/>
        <v>9.0114068441063999</v>
      </c>
    </row>
    <row r="168" spans="4:16" x14ac:dyDescent="0.3">
      <c r="D168" s="2">
        <v>168</v>
      </c>
      <c r="L168" s="24">
        <f>IF('3. Detention'!$Z$7&gt;0.2*($P168),('3. Detention'!$Z$7-0.2*($P168))^2/('3. Detention'!$Z$7+0.8*($P168)),0)</f>
        <v>0.1752712974829837</v>
      </c>
      <c r="M168" s="24">
        <f>IF('3. Detention'!$AE$7&gt;0.2*($P168),('3. Detention'!$AE$7-0.2*($P168))^2/('3. Detention'!$AE$7+0.8*($P168)),0)</f>
        <v>0.95072652519178358</v>
      </c>
      <c r="N168" s="24">
        <f>IF('3. Detention'!$AJ$7&gt;0.2*($P168),('3. Detention'!$AJ$7-0.2*($P168))^2/('3. Detention'!$AJ$7+0.8*($P168)),0)</f>
        <v>2.7600143324055284</v>
      </c>
      <c r="O168" s="61">
        <f t="shared" si="4"/>
        <v>52.70000000000018</v>
      </c>
      <c r="P168" s="24">
        <f t="shared" si="3"/>
        <v>8.9753320683111291</v>
      </c>
    </row>
    <row r="169" spans="4:16" x14ac:dyDescent="0.3">
      <c r="D169" s="2">
        <v>169</v>
      </c>
      <c r="L169" s="24">
        <f>IF('3. Detention'!$Z$7&gt;0.2*($P169),('3. Detention'!$Z$7-0.2*($P169))^2/('3. Detention'!$Z$7+0.8*($P169)),0)</f>
        <v>0.17764456888537181</v>
      </c>
      <c r="M169" s="24">
        <f>IF('3. Detention'!$AE$7&gt;0.2*($P169),('3. Detention'!$AE$7-0.2*($P169))^2/('3. Detention'!$AE$7+0.8*($P169)),0)</f>
        <v>0.95692637726046448</v>
      </c>
      <c r="N169" s="24">
        <f>IF('3. Detention'!$AJ$7&gt;0.2*($P169),('3. Detention'!$AJ$7-0.2*($P169))^2/('3. Detention'!$AJ$7+0.8*($P169)),0)</f>
        <v>2.7712132711647803</v>
      </c>
      <c r="O169" s="61">
        <f t="shared" si="4"/>
        <v>52.800000000000182</v>
      </c>
      <c r="P169" s="24">
        <f t="shared" ref="P169:P232" si="5">IF(O169&gt;0,1000/O169-10,1000)</f>
        <v>8.9393939393938737</v>
      </c>
    </row>
    <row r="170" spans="4:16" x14ac:dyDescent="0.3">
      <c r="D170" s="2">
        <v>170</v>
      </c>
      <c r="L170" s="24">
        <f>IF('3. Detention'!$Z$7&gt;0.2*($P170),('3. Detention'!$Z$7-0.2*($P170))^2/('3. Detention'!$Z$7+0.8*($P170)),0)</f>
        <v>0.18003210002613476</v>
      </c>
      <c r="M170" s="24">
        <f>IF('3. Detention'!$AE$7&gt;0.2*($P170),('3. Detention'!$AE$7-0.2*($P170))^2/('3. Detention'!$AE$7+0.8*($P170)),0)</f>
        <v>0.96313980246407815</v>
      </c>
      <c r="N170" s="24">
        <f>IF('3. Detention'!$AJ$7&gt;0.2*($P170),('3. Detention'!$AJ$7-0.2*($P170))^2/('3. Detention'!$AJ$7+0.8*($P170)),0)</f>
        <v>2.7824179231634805</v>
      </c>
      <c r="O170" s="61">
        <f t="shared" si="4"/>
        <v>52.900000000000183</v>
      </c>
      <c r="P170" s="24">
        <f t="shared" si="5"/>
        <v>8.9035916824195951</v>
      </c>
    </row>
    <row r="171" spans="4:16" x14ac:dyDescent="0.3">
      <c r="D171" s="2">
        <v>171</v>
      </c>
      <c r="L171" s="24">
        <f>IF('3. Detention'!$Z$7&gt;0.2*($P171),('3. Detention'!$Z$7-0.2*($P171))^2/('3. Detention'!$Z$7+0.8*($P171)),0)</f>
        <v>0.18243387251959353</v>
      </c>
      <c r="M171" s="24">
        <f>IF('3. Detention'!$AE$7&gt;0.2*($P171),('3. Detention'!$AE$7-0.2*($P171))^2/('3. Detention'!$AE$7+0.8*($P171)),0)</f>
        <v>0.96936677097335111</v>
      </c>
      <c r="N171" s="24">
        <f>IF('3. Detention'!$AJ$7&gt;0.2*($P171),('3. Detention'!$AJ$7-0.2*($P171))^2/('3. Detention'!$AJ$7+0.8*($P171)),0)</f>
        <v>2.7936282500820182</v>
      </c>
      <c r="O171" s="61">
        <f t="shared" si="4"/>
        <v>53.000000000000185</v>
      </c>
      <c r="P171" s="24">
        <f t="shared" si="5"/>
        <v>8.8679245283018204</v>
      </c>
    </row>
    <row r="172" spans="4:16" x14ac:dyDescent="0.3">
      <c r="D172" s="2">
        <v>172</v>
      </c>
      <c r="L172" s="24">
        <f>IF('3. Detention'!$Z$7&gt;0.2*($P172),('3. Detention'!$Z$7-0.2*($P172))^2/('3. Detention'!$Z$7+0.8*($P172)),0)</f>
        <v>0.18484986834173214</v>
      </c>
      <c r="M172" s="24">
        <f>IF('3. Detention'!$AE$7&gt;0.2*($P172),('3. Detention'!$AE$7-0.2*($P172))^2/('3. Detention'!$AE$7+0.8*($P172)),0)</f>
        <v>0.9756072532633191</v>
      </c>
      <c r="N172" s="24">
        <f>IF('3. Detention'!$AJ$7&gt;0.2*($P172),('3. Detention'!$AJ$7-0.2*($P172))^2/('3. Detention'!$AJ$7+0.8*($P172)),0)</f>
        <v>2.8048442138904313</v>
      </c>
      <c r="O172" s="61">
        <f t="shared" si="4"/>
        <v>53.100000000000186</v>
      </c>
      <c r="P172" s="24">
        <f t="shared" si="5"/>
        <v>8.8323917137475796</v>
      </c>
    </row>
    <row r="173" spans="4:16" x14ac:dyDescent="0.3">
      <c r="D173" s="2">
        <v>173</v>
      </c>
      <c r="L173" s="24">
        <f>IF('3. Detention'!$Z$7&gt;0.2*($P173),('3. Detention'!$Z$7-0.2*($P173))^2/('3. Detention'!$Z$7+0.8*($P173)),0)</f>
        <v>0.18728006982780021</v>
      </c>
      <c r="M173" s="24">
        <f>IF('3. Detention'!$AE$7&gt;0.2*($P173),('3. Detention'!$AE$7-0.2*($P173))^2/('3. Detention'!$AE$7+0.8*($P173)),0)</f>
        <v>0.98186122011064081</v>
      </c>
      <c r="N173" s="24">
        <f>IF('3. Detention'!$AJ$7&gt;0.2*($P173),('3. Detention'!$AJ$7-0.2*($P173))^2/('3. Detention'!$AJ$7+0.8*($P173)),0)</f>
        <v>2.8160657768456909</v>
      </c>
      <c r="O173" s="61">
        <f t="shared" si="4"/>
        <v>53.200000000000188</v>
      </c>
      <c r="P173" s="24">
        <f t="shared" si="5"/>
        <v>8.7969924812029419</v>
      </c>
    </row>
    <row r="174" spans="4:16" x14ac:dyDescent="0.3">
      <c r="D174" s="2">
        <v>174</v>
      </c>
      <c r="L174" s="24">
        <f>IF('3. Detention'!$Z$7&gt;0.2*($P174),('3. Detention'!$Z$7-0.2*($P174))^2/('3. Detention'!$Z$7+0.8*($P174)),0)</f>
        <v>0.18972445966994453</v>
      </c>
      <c r="M174" s="24">
        <f>IF('3. Detention'!$AE$7&gt;0.2*($P174),('3. Detention'!$AE$7-0.2*($P174))^2/('3. Detention'!$AE$7+0.8*($P174)),0)</f>
        <v>0.98812864259093203</v>
      </c>
      <c r="N174" s="24">
        <f>IF('3. Detention'!$AJ$7&gt;0.2*($P174),('3. Detention'!$AJ$7-0.2*($P174))^2/('3. Detention'!$AJ$7+0.8*($P174)),0)</f>
        <v>2.8272929014890043</v>
      </c>
      <c r="O174" s="61">
        <f t="shared" si="4"/>
        <v>53.300000000000189</v>
      </c>
      <c r="P174" s="24">
        <f t="shared" si="5"/>
        <v>8.7617260787991817</v>
      </c>
    </row>
    <row r="175" spans="4:16" x14ac:dyDescent="0.3">
      <c r="D175" s="2">
        <v>175</v>
      </c>
      <c r="L175" s="24">
        <f>IF('3. Detention'!$Z$7&gt;0.2*($P175),('3. Detention'!$Z$7-0.2*($P175))^2/('3. Detention'!$Z$7+0.8*($P175)),0)</f>
        <v>0.19218302091487413</v>
      </c>
      <c r="M175" s="24">
        <f>IF('3. Detention'!$AE$7&gt;0.2*($P175),('3. Detention'!$AE$7-0.2*($P175))^2/('3. Detention'!$AE$7+0.8*($P175)),0)</f>
        <v>0.99440949207613882</v>
      </c>
      <c r="N175" s="24">
        <f>IF('3. Detention'!$AJ$7&gt;0.2*($P175),('3. Detention'!$AJ$7-0.2*($P175))^2/('3. Detention'!$AJ$7+0.8*($P175)),0)</f>
        <v>2.8385255506431561</v>
      </c>
      <c r="O175" s="61">
        <f t="shared" si="4"/>
        <v>53.40000000000019</v>
      </c>
      <c r="P175" s="24">
        <f t="shared" si="5"/>
        <v>8.7265917602995593</v>
      </c>
    </row>
    <row r="176" spans="4:16" x14ac:dyDescent="0.3">
      <c r="D176" s="2">
        <v>176</v>
      </c>
      <c r="L176" s="24">
        <f>IF('3. Detention'!$Z$7&gt;0.2*($P176),('3. Detention'!$Z$7-0.2*($P176))^2/('3. Detention'!$Z$7+0.8*($P176)),0)</f>
        <v>0.19465573696155805</v>
      </c>
      <c r="M176" s="24">
        <f>IF('3. Detention'!$AE$7&gt;0.2*($P176),('3. Detention'!$AE$7-0.2*($P176))^2/('3. Detention'!$AE$7+0.8*($P176)),0)</f>
        <v>1.0007037402319361</v>
      </c>
      <c r="N176" s="24">
        <f>IF('3. Detention'!$AJ$7&gt;0.2*($P176),('3. Detention'!$AJ$7-0.2*($P176))^2/('3. Detention'!$AJ$7+0.8*($P176)),0)</f>
        <v>2.8497636874098764</v>
      </c>
      <c r="O176" s="61">
        <f t="shared" si="4"/>
        <v>53.500000000000192</v>
      </c>
      <c r="P176" s="24">
        <f t="shared" si="5"/>
        <v>8.6915887850466618</v>
      </c>
    </row>
    <row r="177" spans="4:16" x14ac:dyDescent="0.3">
      <c r="D177" s="2">
        <v>177</v>
      </c>
      <c r="L177" s="24">
        <f>IF('3. Detention'!$Z$7&gt;0.2*($P177),('3. Detention'!$Z$7-0.2*($P177))^2/('3. Detention'!$Z$7+0.8*($P177)),0)</f>
        <v>0.19714259155895131</v>
      </c>
      <c r="M177" s="24">
        <f>IF('3. Detention'!$AE$7&gt;0.2*($P177),('3. Detention'!$AE$7-0.2*($P177))^2/('3. Detention'!$AE$7+0.8*($P177)),0)</f>
        <v>1.007011359015155</v>
      </c>
      <c r="N177" s="24">
        <f>IF('3. Detention'!$AJ$7&gt;0.2*($P177),('3. Detention'!$AJ$7-0.2*($P177))^2/('3. Detention'!$AJ$7+0.8*($P177)),0)</f>
        <v>2.8610072751672351</v>
      </c>
      <c r="O177" s="61">
        <f t="shared" si="4"/>
        <v>53.600000000000193</v>
      </c>
      <c r="P177" s="24">
        <f t="shared" si="5"/>
        <v>8.6567164179103813</v>
      </c>
    </row>
    <row r="178" spans="4:16" x14ac:dyDescent="0.3">
      <c r="D178" s="2">
        <v>178</v>
      </c>
      <c r="L178" s="24">
        <f>IF('3. Detention'!$Z$7&gt;0.2*($P178),('3. Detention'!$Z$7-0.2*($P178))^2/('3. Detention'!$Z$7+0.8*($P178)),0)</f>
        <v>0.19964356880375528</v>
      </c>
      <c r="M178" s="24">
        <f>IF('3. Detention'!$AE$7&gt;0.2*($P178),('3. Detention'!$AE$7-0.2*($P178))^2/('3. Detention'!$AE$7+0.8*($P178)),0)</f>
        <v>1.0133323206712435</v>
      </c>
      <c r="N178" s="24">
        <f>IF('3. Detention'!$AJ$7&gt;0.2*($P178),('3. Detention'!$AJ$7-0.2*($P178))^2/('3. Detention'!$AJ$7+0.8*($P178)),0)</f>
        <v>2.8722562775670726</v>
      </c>
      <c r="O178" s="61">
        <f t="shared" si="4"/>
        <v>53.700000000000195</v>
      </c>
      <c r="P178" s="24">
        <f t="shared" si="5"/>
        <v>8.6219739292364324</v>
      </c>
    </row>
    <row r="179" spans="4:16" x14ac:dyDescent="0.3">
      <c r="D179" s="2">
        <v>179</v>
      </c>
      <c r="L179" s="24">
        <f>IF('3. Detention'!$Z$7&gt;0.2*($P179),('3. Detention'!$Z$7-0.2*($P179))^2/('3. Detention'!$Z$7+0.8*($P179)),0)</f>
        <v>0.20215865313820588</v>
      </c>
      <c r="M179" s="24">
        <f>IF('3. Detention'!$AE$7&gt;0.2*($P179),('3. Detention'!$AE$7-0.2*($P179))^2/('3. Detention'!$AE$7+0.8*($P179)),0)</f>
        <v>1.0196665977317527</v>
      </c>
      <c r="N179" s="24">
        <f>IF('3. Detention'!$AJ$7&gt;0.2*($P179),('3. Detention'!$AJ$7-0.2*($P179))^2/('3. Detention'!$AJ$7+0.8*($P179)),0)</f>
        <v>2.883510658532455</v>
      </c>
      <c r="O179" s="61">
        <f t="shared" si="4"/>
        <v>53.800000000000196</v>
      </c>
      <c r="P179" s="24">
        <f t="shared" si="5"/>
        <v>8.5873605947954701</v>
      </c>
    </row>
    <row r="180" spans="4:16" x14ac:dyDescent="0.3">
      <c r="D180" s="2">
        <v>180</v>
      </c>
      <c r="L180" s="24">
        <f>IF('3. Detention'!$Z$7&gt;0.2*($P180),('3. Detention'!$Z$7-0.2*($P180))^2/('3. Detention'!$Z$7+0.8*($P180)),0)</f>
        <v>0.2046878293478927</v>
      </c>
      <c r="M180" s="24">
        <f>IF('3. Detention'!$AE$7&gt;0.2*($P180),('3. Detention'!$AE$7-0.2*($P180))^2/('3. Detention'!$AE$7+0.8*($P180)),0)</f>
        <v>1.02601416301185</v>
      </c>
      <c r="N180" s="24">
        <f>IF('3. Detention'!$AJ$7&gt;0.2*($P180),('3. Detention'!$AJ$7-0.2*($P180))^2/('3. Detention'!$AJ$7+0.8*($P180)),0)</f>
        <v>2.8947703822551545</v>
      </c>
      <c r="O180" s="61">
        <f t="shared" si="4"/>
        <v>53.900000000000198</v>
      </c>
      <c r="P180" s="24">
        <f t="shared" si="5"/>
        <v>8.5528756957327694</v>
      </c>
    </row>
    <row r="181" spans="4:16" x14ac:dyDescent="0.3">
      <c r="D181" s="2">
        <v>181</v>
      </c>
      <c r="L181" s="24">
        <f>IF('3. Detention'!$Z$7&gt;0.2*($P181),('3. Detention'!$Z$7-0.2*($P181))^2/('3. Detention'!$Z$7+0.8*($P181)),0)</f>
        <v>0.20723108255960901</v>
      </c>
      <c r="M181" s="24">
        <f>IF('3. Detention'!$AE$7&gt;0.2*($P181),('3. Detention'!$AE$7-0.2*($P181))^2/('3. Detention'!$AE$7+0.8*($P181)),0)</f>
        <v>1.0323749896078671</v>
      </c>
      <c r="N181" s="24">
        <f>IF('3. Detention'!$AJ$7&gt;0.2*($P181),('3. Detention'!$AJ$7-0.2*($P181))^2/('3. Detention'!$AJ$7+0.8*($P181)),0)</f>
        <v>2.9060354131931656</v>
      </c>
      <c r="O181" s="61">
        <f t="shared" si="4"/>
        <v>54.000000000000199</v>
      </c>
      <c r="P181" s="24">
        <f t="shared" si="5"/>
        <v>8.5185185185184515</v>
      </c>
    </row>
    <row r="182" spans="4:16" x14ac:dyDescent="0.3">
      <c r="D182" s="2">
        <v>182</v>
      </c>
      <c r="L182" s="24">
        <f>IF('3. Detention'!$Z$7&gt;0.2*($P182),('3. Detention'!$Z$7-0.2*($P182))^2/('3. Detention'!$Z$7+0.8*($P182)),0)</f>
        <v>0.20978839823923001</v>
      </c>
      <c r="M182" s="24">
        <f>IF('3. Detention'!$AE$7&gt;0.2*($P182),('3. Detention'!$AE$7-0.2*($P182))^2/('3. Detention'!$AE$7+0.8*($P182)),0)</f>
        <v>1.0387490508948676</v>
      </c>
      <c r="N182" s="24">
        <f>IF('3. Detention'!$AJ$7&gt;0.2*($P182),('3. Detention'!$AJ$7-0.2*($P182))^2/('3. Detention'!$AJ$7+0.8*($P182)),0)</f>
        <v>2.917305716068241</v>
      </c>
      <c r="O182" s="61">
        <f t="shared" si="4"/>
        <v>54.1000000000002</v>
      </c>
      <c r="P182" s="24">
        <f t="shared" si="5"/>
        <v>8.4842883548982684</v>
      </c>
    </row>
    <row r="183" spans="4:16" x14ac:dyDescent="0.3">
      <c r="D183" s="2">
        <v>183</v>
      </c>
      <c r="L183" s="24">
        <f>IF('3. Detention'!$Z$7&gt;0.2*($P183),('3. Detention'!$Z$7-0.2*($P183))^2/('3. Detention'!$Z$7+0.8*($P183)),0)</f>
        <v>0.21235976218961936</v>
      </c>
      <c r="M183" s="24">
        <f>IF('3. Detention'!$AE$7&gt;0.2*($P183),('3. Detention'!$AE$7-0.2*($P183))^2/('3. Detention'!$AE$7+0.8*($P183)),0)</f>
        <v>1.0451363205242452</v>
      </c>
      <c r="N183" s="24">
        <f>IF('3. Detention'!$AJ$7&gt;0.2*($P183),('3. Detention'!$AJ$7-0.2*($P183))^2/('3. Detention'!$AJ$7+0.8*($P183)),0)</f>
        <v>2.9285812558634592</v>
      </c>
      <c r="O183" s="61">
        <f t="shared" si="4"/>
        <v>54.200000000000202</v>
      </c>
      <c r="P183" s="24">
        <f t="shared" si="5"/>
        <v>8.4501845018449515</v>
      </c>
    </row>
    <row r="184" spans="4:16" x14ac:dyDescent="0.3">
      <c r="D184" s="2">
        <v>184</v>
      </c>
      <c r="L184" s="24">
        <f>IF('3. Detention'!$Z$7&gt;0.2*($P184),('3. Detention'!$Z$7-0.2*($P184))^2/('3. Detention'!$Z$7+0.8*($P184)),0)</f>
        <v>0.21494516054856727</v>
      </c>
      <c r="M184" s="24">
        <f>IF('3. Detention'!$AE$7&gt;0.2*($P184),('3. Detention'!$AE$7-0.2*($P184))^2/('3. Detention'!$AE$7+0.8*($P184)),0)</f>
        <v>1.0515367724213522</v>
      </c>
      <c r="N184" s="24">
        <f>IF('3. Detention'!$AJ$7&gt;0.2*($P184),('3. Detention'!$AJ$7-0.2*($P184))^2/('3. Detention'!$AJ$7+0.8*($P184)),0)</f>
        <v>2.9398619978208198</v>
      </c>
      <c r="O184" s="61">
        <f t="shared" si="4"/>
        <v>54.300000000000203</v>
      </c>
      <c r="P184" s="24">
        <f t="shared" si="5"/>
        <v>8.4162062615100588</v>
      </c>
    </row>
    <row r="185" spans="4:16" x14ac:dyDescent="0.3">
      <c r="D185" s="2">
        <v>185</v>
      </c>
      <c r="L185" s="24">
        <f>IF('3. Detention'!$Z$7&gt;0.2*($P185),('3. Detention'!$Z$7-0.2*($P185))^2/('3. Detention'!$Z$7+0.8*($P185)),0)</f>
        <v>0.21754457978675343</v>
      </c>
      <c r="M185" s="24">
        <f>IF('3. Detention'!$AE$7&gt;0.2*($P185),('3. Detention'!$AE$7-0.2*($P185))^2/('3. Detention'!$AE$7+0.8*($P185)),0)</f>
        <v>1.0579503807831483</v>
      </c>
      <c r="N185" s="24">
        <f>IF('3. Detention'!$AJ$7&gt;0.2*($P185),('3. Detention'!$AJ$7-0.2*($P185))^2/('3. Detention'!$AJ$7+0.8*($P185)),0)</f>
        <v>2.9511479074388607</v>
      </c>
      <c r="O185" s="61">
        <f t="shared" si="4"/>
        <v>54.400000000000205</v>
      </c>
      <c r="P185" s="24">
        <f t="shared" si="5"/>
        <v>8.3823529411764</v>
      </c>
    </row>
    <row r="186" spans="4:16" x14ac:dyDescent="0.3">
      <c r="D186" s="2">
        <v>186</v>
      </c>
      <c r="L186" s="24">
        <f>IF('3. Detention'!$Z$7&gt;0.2*($P186),('3. Detention'!$Z$7-0.2*($P186))^2/('3. Detention'!$Z$7+0.8*($P186)),0)</f>
        <v>0.22015800670574123</v>
      </c>
      <c r="M186" s="24">
        <f>IF('3. Detention'!$AE$7&gt;0.2*($P186),('3. Detention'!$AE$7-0.2*($P186))^2/('3. Detention'!$AE$7+0.8*($P186)),0)</f>
        <v>1.0643771200758807</v>
      </c>
      <c r="N186" s="24">
        <f>IF('3. Detention'!$AJ$7&gt;0.2*($P186),('3. Detention'!$AJ$7-0.2*($P186))^2/('3. Detention'!$AJ$7+0.8*($P186)),0)</f>
        <v>2.9624389504703061</v>
      </c>
      <c r="O186" s="61">
        <f t="shared" si="4"/>
        <v>54.500000000000206</v>
      </c>
      <c r="P186" s="24">
        <f t="shared" si="5"/>
        <v>8.3486238532109383</v>
      </c>
    </row>
    <row r="187" spans="4:16" x14ac:dyDescent="0.3">
      <c r="D187" s="2">
        <v>187</v>
      </c>
      <c r="L187" s="24">
        <f>IF('3. Detention'!$Z$7&gt;0.2*($P187),('3. Detention'!$Z$7-0.2*($P187))^2/('3. Detention'!$Z$7+0.8*($P187)),0)</f>
        <v>0.22278542843599761</v>
      </c>
      <c r="M187" s="24">
        <f>IF('3. Detention'!$AE$7&gt;0.2*($P187),('3. Detention'!$AE$7-0.2*($P187))^2/('3. Detention'!$AE$7+0.8*($P187)),0)</f>
        <v>1.0708169650327879</v>
      </c>
      <c r="N187" s="24">
        <f>IF('3. Detention'!$AJ$7&gt;0.2*($P187),('3. Detention'!$AJ$7-0.2*($P187))^2/('3. Detention'!$AJ$7+0.8*($P187)),0)</f>
        <v>2.9737350929197373</v>
      </c>
      <c r="O187" s="61">
        <f t="shared" si="4"/>
        <v>54.600000000000207</v>
      </c>
      <c r="P187" s="24">
        <f t="shared" si="5"/>
        <v>8.3150183150182464</v>
      </c>
    </row>
    <row r="188" spans="4:16" x14ac:dyDescent="0.3">
      <c r="D188" s="2">
        <v>188</v>
      </c>
      <c r="L188" s="24">
        <f>IF('3. Detention'!$Z$7&gt;0.2*($P188),('3. Detention'!$Z$7-0.2*($P188))^2/('3. Detention'!$Z$7+0.8*($P188)),0)</f>
        <v>0.22542683243494169</v>
      </c>
      <c r="M188" s="24">
        <f>IF('3. Detention'!$AE$7&gt;0.2*($P188),('3. Detention'!$AE$7-0.2*($P188))^2/('3. Detention'!$AE$7+0.8*($P188)),0)</f>
        <v>1.0772698906518305</v>
      </c>
      <c r="N188" s="24">
        <f>IF('3. Detention'!$AJ$7&gt;0.2*($P188),('3. Detention'!$AJ$7-0.2*($P188))^2/('3. Detention'!$AJ$7+0.8*($P188)),0)</f>
        <v>2.9850363010412928</v>
      </c>
      <c r="O188" s="61">
        <f t="shared" si="4"/>
        <v>54.700000000000209</v>
      </c>
      <c r="P188" s="24">
        <f t="shared" si="5"/>
        <v>8.2815356489944456</v>
      </c>
    </row>
    <row r="189" spans="4:16" x14ac:dyDescent="0.3">
      <c r="D189" s="2">
        <v>189</v>
      </c>
      <c r="L189" s="24">
        <f>IF('3. Detention'!$Z$7&gt;0.2*($P189),('3. Detention'!$Z$7-0.2*($P189))^2/('3. Detention'!$Z$7+0.8*($P189)),0)</f>
        <v>0.22808220648501906</v>
      </c>
      <c r="M189" s="24">
        <f>IF('3. Detention'!$AE$7&gt;0.2*($P189),('3. Detention'!$AE$7-0.2*($P189))^2/('3. Detention'!$AE$7+0.8*($P189)),0)</f>
        <v>1.0837358721934436</v>
      </c>
      <c r="N189" s="24">
        <f>IF('3. Detention'!$AJ$7&gt;0.2*($P189),('3. Detention'!$AJ$7-0.2*($P189))^2/('3. Detention'!$AJ$7+0.8*($P189)),0)</f>
        <v>2.9963425413363871</v>
      </c>
      <c r="O189" s="61">
        <f t="shared" si="4"/>
        <v>54.80000000000021</v>
      </c>
      <c r="P189" s="24">
        <f t="shared" si="5"/>
        <v>8.2481751824816811</v>
      </c>
    </row>
    <row r="190" spans="4:16" x14ac:dyDescent="0.3">
      <c r="D190" s="2">
        <v>190</v>
      </c>
      <c r="L190" s="24">
        <f>IF('3. Detention'!$Z$7&gt;0.2*($P190),('3. Detention'!$Z$7-0.2*($P190))^2/('3. Detention'!$Z$7+0.8*($P190)),0)</f>
        <v>0.2307515386918042</v>
      </c>
      <c r="M190" s="24">
        <f>IF('3. Detention'!$AE$7&gt;0.2*($P190),('3. Detention'!$AE$7-0.2*($P190))^2/('3. Detention'!$AE$7+0.8*($P190)),0)</f>
        <v>1.0902148851783215</v>
      </c>
      <c r="N190" s="24">
        <f>IF('3. Detention'!$AJ$7&gt;0.2*($P190),('3. Detention'!$AJ$7-0.2*($P190))^2/('3. Detention'!$AJ$7+0.8*($P190)),0)</f>
        <v>3.0076537805514643</v>
      </c>
      <c r="O190" s="61">
        <f t="shared" si="4"/>
        <v>54.900000000000212</v>
      </c>
      <c r="P190" s="24">
        <f t="shared" si="5"/>
        <v>8.2149362477230632</v>
      </c>
    </row>
    <row r="191" spans="4:16" x14ac:dyDescent="0.3">
      <c r="D191" s="2">
        <v>191</v>
      </c>
      <c r="L191" s="24">
        <f>IF('3. Detention'!$Z$7&gt;0.2*($P191),('3. Detention'!$Z$7-0.2*($P191))^2/('3. Detention'!$Z$7+0.8*($P191)),0)</f>
        <v>0.23343481748212933</v>
      </c>
      <c r="M191" s="24">
        <f>IF('3. Detention'!$AE$7&gt;0.2*($P191),('3. Detention'!$AE$7-0.2*($P191))^2/('3. Detention'!$AE$7+0.8*($P191)),0)</f>
        <v>1.0967069053852176</v>
      </c>
      <c r="N191" s="24">
        <f>IF('3. Detention'!$AJ$7&gt;0.2*($P191),('3. Detention'!$AJ$7-0.2*($P191))^2/('3. Detention'!$AJ$7+0.8*($P191)),0)</f>
        <v>3.0189699856757626</v>
      </c>
      <c r="O191" s="61">
        <f t="shared" si="4"/>
        <v>55.000000000000213</v>
      </c>
      <c r="P191" s="24">
        <f t="shared" si="5"/>
        <v>8.1818181818181124</v>
      </c>
    </row>
    <row r="192" spans="4:16" x14ac:dyDescent="0.3">
      <c r="D192" s="2">
        <v>192</v>
      </c>
      <c r="L192" s="24">
        <f>IF('3. Detention'!$Z$7&gt;0.2*($P192),('3. Detention'!$Z$7-0.2*($P192))^2/('3. Detention'!$Z$7+0.8*($P192)),0)</f>
        <v>0.23613203160223836</v>
      </c>
      <c r="M192" s="24">
        <f>IF('3. Detention'!$AE$7&gt;0.2*($P192),('3. Detention'!$AE$7-0.2*($P192))^2/('3. Detention'!$AE$7+0.8*($P192)),0)</f>
        <v>1.1032119088487775</v>
      </c>
      <c r="N192" s="24">
        <f>IF('3. Detention'!$AJ$7&gt;0.2*($P192),('3. Detention'!$AJ$7-0.2*($P192))^2/('3. Detention'!$AJ$7+0.8*($P192)),0)</f>
        <v>3.0302911239391186</v>
      </c>
      <c r="O192" s="61">
        <f t="shared" si="4"/>
        <v>55.100000000000215</v>
      </c>
      <c r="P192" s="24">
        <f t="shared" si="5"/>
        <v>8.1488203266786954</v>
      </c>
    </row>
    <row r="193" spans="4:16" x14ac:dyDescent="0.3">
      <c r="D193" s="2">
        <v>193</v>
      </c>
      <c r="L193" s="24">
        <f>IF('3. Detention'!$Z$7&gt;0.2*($P193),('3. Detention'!$Z$7-0.2*($P193))^2/('3. Detention'!$Z$7+0.8*($P193)),0)</f>
        <v>0.23884317011596795</v>
      </c>
      <c r="M193" s="24">
        <f>IF('3. Detention'!$AE$7&gt;0.2*($P193),('3. Detention'!$AE$7-0.2*($P193))^2/('3. Detention'!$AE$7+0.8*($P193)),0)</f>
        <v>1.1097298718573898</v>
      </c>
      <c r="N193" s="24">
        <f>IF('3. Detention'!$AJ$7&gt;0.2*($P193),('3. Detention'!$AJ$7-0.2*($P193))^2/('3. Detention'!$AJ$7+0.8*($P193)),0)</f>
        <v>3.0416171628097826</v>
      </c>
      <c r="O193" s="61">
        <f t="shared" si="4"/>
        <v>55.200000000000216</v>
      </c>
      <c r="P193" s="24">
        <f t="shared" si="5"/>
        <v>8.1159420289854367</v>
      </c>
    </row>
    <row r="194" spans="4:16" x14ac:dyDescent="0.3">
      <c r="D194" s="2">
        <v>194</v>
      </c>
      <c r="L194" s="24">
        <f>IF('3. Detention'!$Z$7&gt;0.2*($P194),('3. Detention'!$Z$7-0.2*($P194))^2/('3. Detention'!$Z$7+0.8*($P194)),0)</f>
        <v>0.24156822240295334</v>
      </c>
      <c r="M194" s="24">
        <f>IF('3. Detention'!$AE$7&gt;0.2*($P194),('3. Detention'!$AE$7-0.2*($P194))^2/('3. Detention'!$AE$7+0.8*($P194)),0)</f>
        <v>1.1162607709510632</v>
      </c>
      <c r="N194" s="24">
        <f>IF('3. Detention'!$AJ$7&gt;0.2*($P194),('3. Detention'!$AJ$7-0.2*($P194))^2/('3. Detention'!$AJ$7+0.8*($P194)),0)</f>
        <v>3.0529480699922651</v>
      </c>
      <c r="O194" s="61">
        <f t="shared" si="4"/>
        <v>55.300000000000217</v>
      </c>
      <c r="P194" s="24">
        <f t="shared" si="5"/>
        <v>8.0831826401445959</v>
      </c>
    </row>
    <row r="195" spans="4:16" x14ac:dyDescent="0.3">
      <c r="D195" s="2">
        <v>195</v>
      </c>
      <c r="L195" s="24">
        <f>IF('3. Detention'!$Z$7&gt;0.2*($P195),('3. Detention'!$Z$7-0.2*($P195))^2/('3. Detention'!$Z$7+0.8*($P195)),0)</f>
        <v>0.24430717815686046</v>
      </c>
      <c r="M195" s="24">
        <f>IF('3. Detention'!$AE$7&gt;0.2*($P195),('3. Detention'!$AE$7-0.2*($P195))^2/('3. Detention'!$AE$7+0.8*($P195)),0)</f>
        <v>1.1228045829193289</v>
      </c>
      <c r="N195" s="24">
        <f>IF('3. Detention'!$AJ$7&gt;0.2*($P195),('3. Detention'!$AJ$7-0.2*($P195))^2/('3. Detention'!$AJ$7+0.8*($P195)),0)</f>
        <v>3.0642838134252033</v>
      </c>
      <c r="O195" s="61">
        <f t="shared" si="4"/>
        <v>55.400000000000219</v>
      </c>
      <c r="P195" s="24">
        <f t="shared" si="5"/>
        <v>8.050541516245417</v>
      </c>
    </row>
    <row r="196" spans="4:16" x14ac:dyDescent="0.3">
      <c r="D196" s="2">
        <v>196</v>
      </c>
      <c r="L196" s="24">
        <f>IF('3. Detention'!$Z$7&gt;0.2*($P196),('3. Detention'!$Z$7-0.2*($P196))^2/('3. Detention'!$Z$7+0.8*($P196)),0)</f>
        <v>0.24706002738364208</v>
      </c>
      <c r="M196" s="24">
        <f>IF('3. Detention'!$AE$7&gt;0.2*($P196),('3. Detention'!$AE$7-0.2*($P196))^2/('3. Detention'!$AE$7+0.8*($P196)),0)</f>
        <v>1.1293612847991612</v>
      </c>
      <c r="N196" s="24">
        <f>IF('3. Detention'!$AJ$7&gt;0.2*($P196),('3. Detention'!$AJ$7-0.2*($P196))^2/('3. Detention'!$AJ$7+0.8*($P196)),0)</f>
        <v>3.0756243612792509</v>
      </c>
      <c r="O196" s="61">
        <f t="shared" si="4"/>
        <v>55.50000000000022</v>
      </c>
      <c r="P196" s="24">
        <f t="shared" si="5"/>
        <v>8.0180180180179477</v>
      </c>
    </row>
    <row r="197" spans="4:16" x14ac:dyDescent="0.3">
      <c r="D197" s="2">
        <v>197</v>
      </c>
      <c r="L197" s="24">
        <f>IF('3. Detention'!$Z$7&gt;0.2*($P197),('3. Detention'!$Z$7-0.2*($P197))^2/('3. Detention'!$Z$7+0.8*($P197)),0)</f>
        <v>0.24982676039981946</v>
      </c>
      <c r="M197" s="24">
        <f>IF('3. Detention'!$AE$7&gt;0.2*($P197),('3. Detention'!$AE$7-0.2*($P197))^2/('3. Detention'!$AE$7+0.8*($P197)),0)</f>
        <v>1.1359308538729269</v>
      </c>
      <c r="N197" s="24">
        <f>IF('3. Detention'!$AJ$7&gt;0.2*($P197),('3. Detention'!$AJ$7-0.2*($P197))^2/('3. Detention'!$AJ$7+0.8*($P197)),0)</f>
        <v>3.0869696819549977</v>
      </c>
      <c r="O197" s="61">
        <f t="shared" si="4"/>
        <v>55.600000000000222</v>
      </c>
      <c r="P197" s="24">
        <f t="shared" si="5"/>
        <v>7.9856115107912942</v>
      </c>
    </row>
    <row r="198" spans="4:16" x14ac:dyDescent="0.3">
      <c r="D198" s="2">
        <v>198</v>
      </c>
      <c r="L198" s="24">
        <f>IF('3. Detention'!$Z$7&gt;0.2*($P198),('3. Detention'!$Z$7-0.2*($P198))^2/('3. Detention'!$Z$7+0.8*($P198)),0)</f>
        <v>0.25260736783078752</v>
      </c>
      <c r="M198" s="24">
        <f>IF('3. Detention'!$AE$7&gt;0.2*($P198),('3. Detention'!$AE$7-0.2*($P198))^2/('3. Detention'!$AE$7+0.8*($P198)),0)</f>
        <v>1.1425132676663499</v>
      </c>
      <c r="N198" s="24">
        <f>IF('3. Detention'!$AJ$7&gt;0.2*($P198),('3. Detention'!$AJ$7-0.2*($P198))^2/('3. Detention'!$AJ$7+0.8*($P198)),0)</f>
        <v>3.0983197440808921</v>
      </c>
      <c r="O198" s="61">
        <f t="shared" si="4"/>
        <v>55.700000000000223</v>
      </c>
      <c r="P198" s="24">
        <f t="shared" si="5"/>
        <v>7.9533213644523535</v>
      </c>
    </row>
    <row r="199" spans="4:16" x14ac:dyDescent="0.3">
      <c r="D199" s="2">
        <v>199</v>
      </c>
      <c r="L199" s="24">
        <f>IF('3. Detention'!$Z$7&gt;0.2*($P199),('3. Detention'!$Z$7-0.2*($P199))^2/('3. Detention'!$Z$7+0.8*($P199)),0)</f>
        <v>0.25540184060914656</v>
      </c>
      <c r="M199" s="24">
        <f>IF('3. Detention'!$AE$7&gt;0.2*($P199),('3. Detention'!$AE$7-0.2*($P199))^2/('3. Detention'!$AE$7+0.8*($P199)),0)</f>
        <v>1.1491085039465077</v>
      </c>
      <c r="N199" s="24">
        <f>IF('3. Detention'!$AJ$7&gt;0.2*($P199),('3. Detention'!$AJ$7-0.2*($P199))^2/('3. Detention'!$AJ$7+0.8*($P199)),0)</f>
        <v>3.109674516511213</v>
      </c>
      <c r="O199" s="61">
        <f t="shared" si="4"/>
        <v>55.800000000000225</v>
      </c>
      <c r="P199" s="24">
        <f t="shared" si="5"/>
        <v>7.9211469534049463</v>
      </c>
    </row>
    <row r="200" spans="4:16" x14ac:dyDescent="0.3">
      <c r="D200" s="2">
        <v>200</v>
      </c>
      <c r="L200" s="24">
        <f>IF('3. Detention'!$Z$7&gt;0.2*($P200),('3. Detention'!$Z$7-0.2*($P200))^2/('3. Detention'!$Z$7+0.8*($P200)),0)</f>
        <v>0.25821016997305468</v>
      </c>
      <c r="M200" s="24">
        <f>IF('3. Detention'!$AE$7&gt;0.2*($P200),('3. Detention'!$AE$7-0.2*($P200))^2/('3. Detention'!$AE$7+0.8*($P200)),0)</f>
        <v>1.1557165407198413</v>
      </c>
      <c r="N200" s="24">
        <f>IF('3. Detention'!$AJ$7&gt;0.2*($P200),('3. Detention'!$AJ$7-0.2*($P200))^2/('3. Detention'!$AJ$7+0.8*($P200)),0)</f>
        <v>3.1210339683240442</v>
      </c>
      <c r="O200" s="61">
        <f t="shared" si="4"/>
        <v>55.900000000000226</v>
      </c>
      <c r="P200" s="24">
        <f t="shared" si="5"/>
        <v>7.8890876565294441</v>
      </c>
    </row>
    <row r="201" spans="4:16" x14ac:dyDescent="0.3">
      <c r="D201" s="2">
        <v>201</v>
      </c>
      <c r="L201" s="24">
        <f>IF('3. Detention'!$Z$7&gt;0.2*($P201),('3. Detention'!$Z$7-0.2*($P201))^2/('3. Detention'!$Z$7+0.8*($P201)),0)</f>
        <v>0.26103234746460624</v>
      </c>
      <c r="M201" s="24">
        <f>IF('3. Detention'!$AE$7&gt;0.2*($P201),('3. Detention'!$AE$7-0.2*($P201))^2/('3. Detention'!$AE$7+0.8*($P201)),0)</f>
        <v>1.1623373562301889</v>
      </c>
      <c r="N201" s="24">
        <f>IF('3. Detention'!$AJ$7&gt;0.2*($P201),('3. Detention'!$AJ$7-0.2*($P201))^2/('3. Detention'!$AJ$7+0.8*($P201)),0)</f>
        <v>3.1323980688192705</v>
      </c>
      <c r="O201" s="61">
        <f t="shared" si="4"/>
        <v>56.000000000000227</v>
      </c>
      <c r="P201" s="24">
        <f t="shared" si="5"/>
        <v>7.857142857142783</v>
      </c>
    </row>
    <row r="202" spans="4:16" x14ac:dyDescent="0.3">
      <c r="D202" s="2">
        <v>202</v>
      </c>
      <c r="L202" s="24">
        <f>IF('3. Detention'!$Z$7&gt;0.2*($P202),('3. Detention'!$Z$7-0.2*($P202))^2/('3. Detention'!$Z$7+0.8*($P202)),0)</f>
        <v>0.26386836492823318</v>
      </c>
      <c r="M202" s="24">
        <f>IF('3. Detention'!$AE$7&gt;0.2*($P202),('3. Detention'!$AE$7-0.2*($P202))^2/('3. Detention'!$AE$7+0.8*($P202)),0)</f>
        <v>1.1689709289568462</v>
      </c>
      <c r="N202" s="24">
        <f>IF('3. Detention'!$AJ$7&gt;0.2*($P202),('3. Detention'!$AJ$7-0.2*($P202))^2/('3. Detention'!$AJ$7+0.8*($P202)),0)</f>
        <v>3.1437667875166118</v>
      </c>
      <c r="O202" s="61">
        <f t="shared" si="4"/>
        <v>56.100000000000229</v>
      </c>
      <c r="P202" s="24">
        <f t="shared" si="5"/>
        <v>7.8253119429589297</v>
      </c>
    </row>
    <row r="203" spans="4:16" x14ac:dyDescent="0.3">
      <c r="D203" s="2">
        <v>203</v>
      </c>
      <c r="L203" s="24">
        <f>IF('3. Detention'!$Z$7&gt;0.2*($P203),('3. Detention'!$Z$7-0.2*($P203))^2/('3. Detention'!$Z$7+0.8*($P203)),0)</f>
        <v>0.26671821450913019</v>
      </c>
      <c r="M203" s="24">
        <f>IF('3. Detention'!$AE$7&gt;0.2*($P203),('3. Detention'!$AE$7-0.2*($P203))^2/('3. Detention'!$AE$7+0.8*($P203)),0)</f>
        <v>1.1756172376126421</v>
      </c>
      <c r="N203" s="24">
        <f>IF('3. Detention'!$AJ$7&gt;0.2*($P203),('3. Detention'!$AJ$7-0.2*($P203))^2/('3. Detention'!$AJ$7+0.8*($P203)),0)</f>
        <v>3.1551400941536585</v>
      </c>
      <c r="O203" s="61">
        <f t="shared" si="4"/>
        <v>56.20000000000023</v>
      </c>
      <c r="P203" s="24">
        <f t="shared" si="5"/>
        <v>7.7935943060497479</v>
      </c>
    </row>
    <row r="204" spans="4:16" x14ac:dyDescent="0.3">
      <c r="D204" s="2">
        <v>204</v>
      </c>
      <c r="L204" s="24">
        <f>IF('3. Detention'!$Z$7&gt;0.2*($P204),('3. Detention'!$Z$7-0.2*($P204))^2/('3. Detention'!$Z$7+0.8*($P204)),0)</f>
        <v>0.26958188865170041</v>
      </c>
      <c r="M204" s="24">
        <f>IF('3. Detention'!$AE$7&gt;0.2*($P204),('3. Detention'!$AE$7-0.2*($P204))^2/('3. Detention'!$AE$7+0.8*($P204)),0)</f>
        <v>1.1822762611420345</v>
      </c>
      <c r="N204" s="24">
        <f>IF('3. Detention'!$AJ$7&gt;0.2*($P204),('3. Detention'!$AJ$7-0.2*($P204))^2/('3. Detention'!$AJ$7+0.8*($P204)),0)</f>
        <v>3.1665179586839374</v>
      </c>
      <c r="O204" s="61">
        <f t="shared" si="4"/>
        <v>56.300000000000232</v>
      </c>
      <c r="P204" s="24">
        <f t="shared" si="5"/>
        <v>7.76198934280632</v>
      </c>
    </row>
    <row r="205" spans="4:16" x14ac:dyDescent="0.3">
      <c r="D205" s="2">
        <v>205</v>
      </c>
      <c r="L205" s="24">
        <f>IF('3. Detention'!$Z$7&gt;0.2*($P205),('3. Detention'!$Z$7-0.2*($P205))^2/('3. Detention'!$Z$7+0.8*($P205)),0)</f>
        <v>0.27245938009802695</v>
      </c>
      <c r="M205" s="24">
        <f>IF('3. Detention'!$AE$7&gt;0.2*($P205),('3. Detention'!$AE$7-0.2*($P205))^2/('3. Detention'!$AE$7+0.8*($P205)),0)</f>
        <v>1.1889479787192339</v>
      </c>
      <c r="N205" s="24">
        <f>IF('3. Detention'!$AJ$7&gt;0.2*($P205),('3. Detention'!$AJ$7-0.2*($P205))^2/('3. Detention'!$AJ$7+0.8*($P205)),0)</f>
        <v>3.1779003512750013</v>
      </c>
      <c r="O205" s="61">
        <f t="shared" si="4"/>
        <v>56.400000000000233</v>
      </c>
      <c r="P205" s="24">
        <f t="shared" si="5"/>
        <v>7.7304964539006349</v>
      </c>
    </row>
    <row r="206" spans="4:16" x14ac:dyDescent="0.3">
      <c r="D206" s="2">
        <v>206</v>
      </c>
      <c r="L206" s="24">
        <f>IF('3. Detention'!$Z$7&gt;0.2*($P206),('3. Detention'!$Z$7-0.2*($P206))^2/('3. Detention'!$Z$7+0.8*($P206)),0)</f>
        <v>0.27535068188636497</v>
      </c>
      <c r="M206" s="24">
        <f>IF('3. Detention'!$AE$7&gt;0.2*($P206),('3. Detention'!$AE$7-0.2*($P206))^2/('3. Detention'!$AE$7+0.8*($P206)),0)</f>
        <v>1.1956323697463405</v>
      </c>
      <c r="N206" s="24">
        <f>IF('3. Detention'!$AJ$7&gt;0.2*($P206),('3. Detention'!$AJ$7-0.2*($P206))^2/('3. Detention'!$AJ$7+0.8*($P206)),0)</f>
        <v>3.1892872423065297</v>
      </c>
      <c r="O206" s="61">
        <f t="shared" si="4"/>
        <v>56.500000000000234</v>
      </c>
      <c r="P206" s="24">
        <f t="shared" si="5"/>
        <v>7.6991150442477156</v>
      </c>
    </row>
    <row r="207" spans="4:16" x14ac:dyDescent="0.3">
      <c r="D207" s="2">
        <v>207</v>
      </c>
      <c r="L207" s="24">
        <f>IF('3. Detention'!$Z$7&gt;0.2*($P207),('3. Detention'!$Z$7-0.2*($P207))^2/('3. Detention'!$Z$7+0.8*($P207)),0)</f>
        <v>0.27825578734965734</v>
      </c>
      <c r="M207" s="24">
        <f>IF('3. Detention'!$AE$7&gt;0.2*($P207),('3. Detention'!$AE$7-0.2*($P207))^2/('3. Detention'!$AE$7+0.8*($P207)),0)</f>
        <v>1.2023294138515064</v>
      </c>
      <c r="N207" s="24">
        <f>IF('3. Detention'!$AJ$7&gt;0.2*($P207),('3. Detention'!$AJ$7-0.2*($P207))^2/('3. Detention'!$AJ$7+0.8*($P207)),0)</f>
        <v>3.2006786023684644</v>
      </c>
      <c r="O207" s="61">
        <f t="shared" si="4"/>
        <v>56.600000000000236</v>
      </c>
      <c r="P207" s="24">
        <f t="shared" si="5"/>
        <v>7.6678445229681245</v>
      </c>
    </row>
    <row r="208" spans="4:16" x14ac:dyDescent="0.3">
      <c r="D208" s="2">
        <v>208</v>
      </c>
      <c r="L208" s="24">
        <f>IF('3. Detention'!$Z$7&gt;0.2*($P208),('3. Detention'!$Z$7-0.2*($P208))^2/('3. Detention'!$Z$7+0.8*($P208)),0)</f>
        <v>0.28117469011406948</v>
      </c>
      <c r="M208" s="24">
        <f>IF('3. Detention'!$AE$7&gt;0.2*($P208),('3. Detention'!$AE$7-0.2*($P208))^2/('3. Detention'!$AE$7+0.8*($P208)),0)</f>
        <v>1.2090390908871094</v>
      </c>
      <c r="N208" s="24">
        <f>IF('3. Detention'!$AJ$7&gt;0.2*($P208),('3. Detention'!$AJ$7-0.2*($P208))^2/('3. Detention'!$AJ$7+0.8*($P208)),0)</f>
        <v>3.2120744022591361</v>
      </c>
      <c r="O208" s="61">
        <f t="shared" si="4"/>
        <v>56.700000000000237</v>
      </c>
      <c r="P208" s="24">
        <f t="shared" si="5"/>
        <v>7.6366843033508971</v>
      </c>
    </row>
    <row r="209" spans="4:16" x14ac:dyDescent="0.3">
      <c r="D209" s="2">
        <v>209</v>
      </c>
      <c r="L209" s="24">
        <f>IF('3. Detention'!$Z$7&gt;0.2*($P209),('3. Detention'!$Z$7-0.2*($P209))^2/('3. Detention'!$Z$7+0.8*($P209)),0)</f>
        <v>0.28410738409755026</v>
      </c>
      <c r="M209" s="24">
        <f>IF('3. Detention'!$AE$7&gt;0.2*($P209),('3. Detention'!$AE$7-0.2*($P209))^2/('3. Detention'!$AE$7+0.8*($P209)),0)</f>
        <v>1.2157613809279597</v>
      </c>
      <c r="N209" s="24">
        <f>IF('3. Detention'!$AJ$7&gt;0.2*($P209),('3. Detention'!$AJ$7-0.2*($P209))^2/('3. Detention'!$AJ$7+0.8*($P209)),0)</f>
        <v>3.2234746129834515</v>
      </c>
      <c r="O209" s="61">
        <f t="shared" si="4"/>
        <v>56.800000000000239</v>
      </c>
      <c r="P209" s="24">
        <f t="shared" si="5"/>
        <v>7.6056338028168291</v>
      </c>
    </row>
    <row r="210" spans="4:16" x14ac:dyDescent="0.3">
      <c r="D210" s="2">
        <v>210</v>
      </c>
      <c r="L210" s="24">
        <f>IF('3. Detention'!$Z$7&gt;0.2*($P210),('3. Detention'!$Z$7-0.2*($P210))^2/('3. Detention'!$Z$7+0.8*($P210)),0)</f>
        <v>0.28705386350841078</v>
      </c>
      <c r="M210" s="24">
        <f>IF('3. Detention'!$AE$7&gt;0.2*($P210),('3. Detention'!$AE$7-0.2*($P210))^2/('3. Detention'!$AE$7+0.8*($P210)),0)</f>
        <v>1.2224962642695143</v>
      </c>
      <c r="N210" s="24">
        <f>IF('3. Detention'!$AJ$7&gt;0.2*($P210),('3. Detention'!$AJ$7-0.2*($P210))^2/('3. Detention'!$AJ$7+0.8*($P210)),0)</f>
        <v>3.2348792057510649</v>
      </c>
      <c r="O210" s="61">
        <f t="shared" si="4"/>
        <v>56.90000000000024</v>
      </c>
      <c r="P210" s="24">
        <f t="shared" si="5"/>
        <v>7.5746924428821742</v>
      </c>
    </row>
    <row r="211" spans="4:16" x14ac:dyDescent="0.3">
      <c r="D211" s="2">
        <v>211</v>
      </c>
      <c r="L211" s="24">
        <f>IF('3. Detention'!$Z$7&gt;0.2*($P211),('3. Detention'!$Z$7-0.2*($P211))^2/('3. Detention'!$Z$7+0.8*($P211)),0)</f>
        <v>0.29001412284392519</v>
      </c>
      <c r="M211" s="24">
        <f>IF('3. Detention'!$AE$7&gt;0.2*($P211),('3. Detention'!$AE$7-0.2*($P211))^2/('3. Detention'!$AE$7+0.8*($P211)),0)</f>
        <v>1.2292437214261154</v>
      </c>
      <c r="N211" s="24">
        <f>IF('3. Detention'!$AJ$7&gt;0.2*($P211),('3. Detention'!$AJ$7-0.2*($P211))^2/('3. Detention'!$AJ$7+0.8*($P211)),0)</f>
        <v>3.2462881519745839</v>
      </c>
      <c r="O211" s="61">
        <f t="shared" si="4"/>
        <v>57.000000000000242</v>
      </c>
      <c r="P211" s="24">
        <f t="shared" si="5"/>
        <v>7.5438596491227337</v>
      </c>
    </row>
    <row r="212" spans="4:16" x14ac:dyDescent="0.3">
      <c r="D212" s="2">
        <v>212</v>
      </c>
      <c r="L212" s="24">
        <f>IF('3. Detention'!$Z$7&gt;0.2*($P212),('3. Detention'!$Z$7-0.2*($P212))^2/('3. Detention'!$Z$7+0.8*($P212)),0)</f>
        <v>0.29298815688895558</v>
      </c>
      <c r="M212" s="24">
        <f>IF('3. Detention'!$AE$7&gt;0.2*($P212),('3. Detention'!$AE$7-0.2*($P212))^2/('3. Detention'!$AE$7+0.8*($P212)),0)</f>
        <v>1.2360037331292484</v>
      </c>
      <c r="N212" s="24">
        <f>IF('3. Detention'!$AJ$7&gt;0.2*($P212),('3. Detention'!$AJ$7-0.2*($P212))^2/('3. Detention'!$AJ$7+0.8*($P212)),0)</f>
        <v>3.257701423267795</v>
      </c>
      <c r="O212" s="61">
        <f t="shared" si="4"/>
        <v>57.100000000000243</v>
      </c>
      <c r="P212" s="24">
        <f t="shared" si="5"/>
        <v>7.5131348511382789</v>
      </c>
    </row>
    <row r="213" spans="4:16" x14ac:dyDescent="0.3">
      <c r="D213" s="2">
        <v>213</v>
      </c>
      <c r="L213" s="24">
        <f>IF('3. Detention'!$Z$7&gt;0.2*($P213),('3. Detention'!$Z$7-0.2*($P213))^2/('3. Detention'!$Z$7+0.8*($P213)),0)</f>
        <v>0.29597596071459265</v>
      </c>
      <c r="M213" s="24">
        <f>IF('3. Detention'!$AE$7&gt;0.2*($P213),('3. Detention'!$AE$7-0.2*($P213))^2/('3. Detention'!$AE$7+0.8*($P213)),0)</f>
        <v>1.2427762803258173</v>
      </c>
      <c r="N213" s="24">
        <f>IF('3. Detention'!$AJ$7&gt;0.2*($P213),('3. Detention'!$AJ$7-0.2*($P213))^2/('3. Detention'!$AJ$7+0.8*($P213)),0)</f>
        <v>3.2691189914439014</v>
      </c>
      <c r="O213" s="61">
        <f t="shared" si="4"/>
        <v>57.200000000000244</v>
      </c>
      <c r="P213" s="24">
        <f t="shared" si="5"/>
        <v>7.4825174825174088</v>
      </c>
    </row>
    <row r="214" spans="4:16" x14ac:dyDescent="0.3">
      <c r="D214" s="2">
        <v>214</v>
      </c>
      <c r="L214" s="24">
        <f>IF('3. Detention'!$Z$7&gt;0.2*($P214),('3. Detention'!$Z$7-0.2*($P214))^2/('3. Detention'!$Z$7+0.8*($P214)),0)</f>
        <v>0.29897752967682184</v>
      </c>
      <c r="M214" s="24">
        <f>IF('3. Detention'!$AE$7&gt;0.2*($P214),('3. Detention'!$AE$7-0.2*($P214))^2/('3. Detention'!$AE$7+0.8*($P214)),0)</f>
        <v>1.2495613441764386</v>
      </c>
      <c r="N214" s="24">
        <f>IF('3. Detention'!$AJ$7&gt;0.2*($P214),('3. Detention'!$AJ$7-0.2*($P214))^2/('3. Detention'!$AJ$7+0.8*($P214)),0)</f>
        <v>3.2805408285137854</v>
      </c>
      <c r="O214" s="61">
        <f t="shared" si="4"/>
        <v>57.300000000000246</v>
      </c>
      <c r="P214" s="24">
        <f t="shared" si="5"/>
        <v>7.4520069808027181</v>
      </c>
    </row>
    <row r="215" spans="4:16" x14ac:dyDescent="0.3">
      <c r="D215" s="2">
        <v>215</v>
      </c>
      <c r="L215" s="24">
        <f>IF('3. Detention'!$Z$7&gt;0.2*($P215),('3. Detention'!$Z$7-0.2*($P215))^2/('3. Detention'!$Z$7+0.8*($P215)),0)</f>
        <v>0.30199285941520676</v>
      </c>
      <c r="M215" s="24">
        <f>IF('3. Detention'!$AE$7&gt;0.2*($P215),('3. Detention'!$AE$7-0.2*($P215))^2/('3. Detention'!$AE$7+0.8*($P215)),0)</f>
        <v>1.2563589060537539</v>
      </c>
      <c r="N215" s="24">
        <f>IF('3. Detention'!$AJ$7&gt;0.2*($P215),('3. Detention'!$AJ$7-0.2*($P215))^2/('3. Detention'!$AJ$7+0.8*($P215)),0)</f>
        <v>3.2919669066842867</v>
      </c>
      <c r="O215" s="61">
        <f t="shared" si="4"/>
        <v>57.400000000000247</v>
      </c>
      <c r="P215" s="24">
        <f t="shared" si="5"/>
        <v>7.4216027874563721</v>
      </c>
    </row>
    <row r="216" spans="4:16" x14ac:dyDescent="0.3">
      <c r="D216" s="2">
        <v>216</v>
      </c>
      <c r="L216" s="24">
        <f>IF('3. Detention'!$Z$7&gt;0.2*($P216),('3. Detention'!$Z$7-0.2*($P216))^2/('3. Detention'!$Z$7+0.8*($P216)),0)</f>
        <v>0.30502194585159431</v>
      </c>
      <c r="M216" s="24">
        <f>IF('3. Detention'!$AE$7&gt;0.2*($P216),('3. Detention'!$AE$7-0.2*($P216))^2/('3. Detention'!$AE$7+0.8*($P216)),0)</f>
        <v>1.2631689475407613</v>
      </c>
      <c r="N216" s="24">
        <f>IF('3. Detention'!$AJ$7&gt;0.2*($P216),('3. Detention'!$AJ$7-0.2*($P216))^2/('3. Detention'!$AJ$7+0.8*($P216)),0)</f>
        <v>3.303397198356496</v>
      </c>
      <c r="O216" s="61">
        <f t="shared" si="4"/>
        <v>57.500000000000249</v>
      </c>
      <c r="P216" s="24">
        <f t="shared" si="5"/>
        <v>7.3913043478260114</v>
      </c>
    </row>
    <row r="217" spans="4:16" x14ac:dyDescent="0.3">
      <c r="D217" s="2">
        <v>217</v>
      </c>
      <c r="L217" s="24">
        <f>IF('3. Detention'!$Z$7&gt;0.2*($P217),('3. Detention'!$Z$7-0.2*($P217))^2/('3. Detention'!$Z$7+0.8*($P217)),0)</f>
        <v>0.30806478518883906</v>
      </c>
      <c r="M217" s="24">
        <f>IF('3. Detention'!$AE$7&gt;0.2*($P217),('3. Detention'!$AE$7-0.2*($P217))^2/('3. Detention'!$AE$7+0.8*($P217)),0)</f>
        <v>1.2699914504291612</v>
      </c>
      <c r="N217" s="24">
        <f>IF('3. Detention'!$AJ$7&gt;0.2*($P217),('3. Detention'!$AJ$7-0.2*($P217))^2/('3. Detention'!$AJ$7+0.8*($P217)),0)</f>
        <v>3.3148316761240673</v>
      </c>
      <c r="O217" s="61">
        <f t="shared" si="4"/>
        <v>57.60000000000025</v>
      </c>
      <c r="P217" s="24">
        <f t="shared" si="5"/>
        <v>7.3611111111110361</v>
      </c>
    </row>
    <row r="218" spans="4:16" x14ac:dyDescent="0.3">
      <c r="D218" s="2">
        <v>218</v>
      </c>
      <c r="L218" s="24">
        <f>IF('3. Detention'!$Z$7&gt;0.2*($P218),('3. Detention'!$Z$7-0.2*($P218))^2/('3. Detention'!$Z$7+0.8*($P218)),0)</f>
        <v>0.31112137390954886</v>
      </c>
      <c r="M218" s="24">
        <f>IF('3. Detention'!$AE$7&gt;0.2*($P218),('3. Detention'!$AE$7-0.2*($P218))^2/('3. Detention'!$AE$7+0.8*($P218)),0)</f>
        <v>1.2768263967177249</v>
      </c>
      <c r="N218" s="24">
        <f>IF('3. Detention'!$AJ$7&gt;0.2*($P218),('3. Detention'!$AJ$7-0.2*($P218))^2/('3. Detention'!$AJ$7+0.8*($P218)),0)</f>
        <v>3.3262703127715532</v>
      </c>
      <c r="O218" s="61">
        <f t="shared" si="4"/>
        <v>57.700000000000252</v>
      </c>
      <c r="P218" s="24">
        <f t="shared" si="5"/>
        <v>7.3310225303292142</v>
      </c>
    </row>
    <row r="219" spans="4:16" x14ac:dyDescent="0.3">
      <c r="D219" s="2">
        <v>219</v>
      </c>
      <c r="L219" s="24">
        <f>IF('3. Detention'!$Z$7&gt;0.2*($P219),('3. Detention'!$Z$7-0.2*($P219))^2/('3. Detention'!$Z$7+0.8*($P219)),0)</f>
        <v>0.31419170877484809</v>
      </c>
      <c r="M219" s="24">
        <f>IF('3. Detention'!$AE$7&gt;0.2*($P219),('3. Detention'!$AE$7-0.2*($P219))^2/('3. Detention'!$AE$7+0.8*($P219)),0)</f>
        <v>1.2836737686106765</v>
      </c>
      <c r="N219" s="24">
        <f>IF('3. Detention'!$AJ$7&gt;0.2*($P219),('3. Detention'!$AJ$7-0.2*($P219))^2/('3. Detention'!$AJ$7+0.8*($P219)),0)</f>
        <v>3.3377130812727498</v>
      </c>
      <c r="O219" s="61">
        <f t="shared" ref="O219:O282" si="6">O218+0.1</f>
        <v>57.800000000000253</v>
      </c>
      <c r="P219" s="24">
        <f t="shared" si="5"/>
        <v>7.3010380622836628</v>
      </c>
    </row>
    <row r="220" spans="4:16" x14ac:dyDescent="0.3">
      <c r="D220" s="2">
        <v>220</v>
      </c>
      <c r="L220" s="24">
        <f>IF('3. Detention'!$Z$7&gt;0.2*($P220),('3. Detention'!$Z$7-0.2*($P220))^2/('3. Detention'!$Z$7+0.8*($P220)),0)</f>
        <v>0.3172757868231626</v>
      </c>
      <c r="M220" s="24">
        <f>IF('3. Detention'!$AE$7&gt;0.2*($P220),('3. Detention'!$AE$7-0.2*($P220))^2/('3. Detention'!$AE$7+0.8*($P220)),0)</f>
        <v>1.2905335485160967</v>
      </c>
      <c r="N220" s="24">
        <f>IF('3. Detention'!$AJ$7&gt;0.2*($P220),('3. Detention'!$AJ$7-0.2*($P220))^2/('3. Detention'!$AJ$7+0.8*($P220)),0)</f>
        <v>3.3491599547890694</v>
      </c>
      <c r="O220" s="61">
        <f t="shared" si="6"/>
        <v>57.900000000000254</v>
      </c>
      <c r="P220" s="24">
        <f t="shared" si="5"/>
        <v>7.2711571675301485</v>
      </c>
    </row>
    <row r="221" spans="4:16" x14ac:dyDescent="0.3">
      <c r="D221" s="2">
        <v>221</v>
      </c>
      <c r="L221" s="24">
        <f>IF('3. Detention'!$Z$7&gt;0.2*($P221),('3. Detention'!$Z$7-0.2*($P221))^2/('3. Detention'!$Z$7+0.8*($P221)),0)</f>
        <v>0.32037360536902121</v>
      </c>
      <c r="M221" s="24">
        <f>IF('3. Detention'!$AE$7&gt;0.2*($P221),('3. Detention'!$AE$7-0.2*($P221))^2/('3. Detention'!$AE$7+0.8*($P221)),0)</f>
        <v>1.2974057190443342</v>
      </c>
      <c r="N221" s="24">
        <f>IF('3. Detention'!$AJ$7&gt;0.2*($P221),('3. Detention'!$AJ$7-0.2*($P221))^2/('3. Detention'!$AJ$7+0.8*($P221)),0)</f>
        <v>3.3606109066679073</v>
      </c>
      <c r="O221" s="61">
        <f t="shared" si="6"/>
        <v>58.000000000000256</v>
      </c>
      <c r="P221" s="24">
        <f t="shared" si="5"/>
        <v>7.241379310344751</v>
      </c>
    </row>
    <row r="222" spans="4:16" x14ac:dyDescent="0.3">
      <c r="D222" s="2">
        <v>222</v>
      </c>
      <c r="L222" s="24">
        <f>IF('3. Detention'!$Z$7&gt;0.2*($P222),('3. Detention'!$Z$7-0.2*($P222))^2/('3. Detention'!$Z$7+0.8*($P222)),0)</f>
        <v>0.32348516200187882</v>
      </c>
      <c r="M222" s="24">
        <f>IF('3. Detention'!$AE$7&gt;0.2*($P222),('3. Detention'!$AE$7-0.2*($P222))^2/('3. Detention'!$AE$7+0.8*($P222)),0)</f>
        <v>1.304290263006445</v>
      </c>
      <c r="N222" s="24">
        <f>IF('3. Detention'!$AJ$7&gt;0.2*($P222),('3. Detention'!$AJ$7-0.2*($P222))^2/('3. Detention'!$AJ$7+0.8*($P222)),0)</f>
        <v>3.3720659104410591</v>
      </c>
      <c r="O222" s="61">
        <f t="shared" si="6"/>
        <v>58.100000000000257</v>
      </c>
      <c r="P222" s="24">
        <f t="shared" si="5"/>
        <v>7.2117039586918352</v>
      </c>
    </row>
    <row r="223" spans="4:16" x14ac:dyDescent="0.3">
      <c r="D223" s="2">
        <v>223</v>
      </c>
      <c r="L223" s="24">
        <f>IF('3. Detention'!$Z$7&gt;0.2*($P223),('3. Detention'!$Z$7-0.2*($P223))^2/('3. Detention'!$Z$7+0.8*($P223)),0)</f>
        <v>0.32661045458495769</v>
      </c>
      <c r="M223" s="24">
        <f>IF('3. Detention'!$AE$7&gt;0.2*($P223),('3. Detention'!$AE$7-0.2*($P223))^2/('3. Detention'!$AE$7+0.8*($P223)),0)</f>
        <v>1.3111871634126433</v>
      </c>
      <c r="N223" s="24">
        <f>IF('3. Detention'!$AJ$7&gt;0.2*($P223),('3. Detention'!$AJ$7-0.2*($P223))^2/('3. Detention'!$AJ$7+0.8*($P223)),0)</f>
        <v>3.3835249398231264</v>
      </c>
      <c r="O223" s="61">
        <f t="shared" si="6"/>
        <v>58.200000000000259</v>
      </c>
      <c r="P223" s="24">
        <f t="shared" si="5"/>
        <v>7.1821305841923646</v>
      </c>
    </row>
    <row r="224" spans="4:16" x14ac:dyDescent="0.3">
      <c r="D224" s="2">
        <v>224</v>
      </c>
      <c r="L224" s="24">
        <f>IF('3. Detention'!$Z$7&gt;0.2*($P224),('3. Detention'!$Z$7-0.2*($P224))^2/('3. Detention'!$Z$7+0.8*($P224)),0)</f>
        <v>0.32974948125410647</v>
      </c>
      <c r="M224" s="24">
        <f>IF('3. Detention'!$AE$7&gt;0.2*($P224),('3. Detention'!$AE$7-0.2*($P224))^2/('3. Detention'!$AE$7+0.8*($P224)),0)</f>
        <v>1.3180964034707674</v>
      </c>
      <c r="N224" s="24">
        <f>IF('3. Detention'!$AJ$7&gt;0.2*($P224),('3. Detention'!$AJ$7-0.2*($P224))^2/('3. Detention'!$AJ$7+0.8*($P224)),0)</f>
        <v>3.39498796870995</v>
      </c>
      <c r="O224" s="61">
        <f t="shared" si="6"/>
        <v>58.30000000000026</v>
      </c>
      <c r="P224" s="24">
        <f t="shared" si="5"/>
        <v>7.1526586620925485</v>
      </c>
    </row>
    <row r="225" spans="4:16" x14ac:dyDescent="0.3">
      <c r="D225" s="2">
        <v>225</v>
      </c>
      <c r="L225" s="24">
        <f>IF('3. Detention'!$Z$7&gt;0.2*($P225),('3. Detention'!$Z$7-0.2*($P225))^2/('3. Detention'!$Z$7+0.8*($P225)),0)</f>
        <v>0.33290224041667843</v>
      </c>
      <c r="M225" s="24">
        <f>IF('3. Detention'!$AE$7&gt;0.2*($P225),('3. Detention'!$AE$7-0.2*($P225))^2/('3. Detention'!$AE$7+0.8*($P225)),0)</f>
        <v>1.3250179665847639</v>
      </c>
      <c r="N225" s="24">
        <f>IF('3. Detention'!$AJ$7&gt;0.2*($P225),('3. Detention'!$AJ$7-0.2*($P225))^2/('3. Detention'!$AJ$7+0.8*($P225)),0)</f>
        <v>3.4064549711770602</v>
      </c>
      <c r="O225" s="61">
        <f t="shared" si="6"/>
        <v>58.400000000000261</v>
      </c>
      <c r="P225" s="24">
        <f t="shared" si="5"/>
        <v>7.1232876712327986</v>
      </c>
    </row>
    <row r="226" spans="4:16" x14ac:dyDescent="0.3">
      <c r="D226" s="2">
        <v>226</v>
      </c>
      <c r="L226" s="24">
        <f>IF('3. Detention'!$Z$7&gt;0.2*($P226),('3. Detention'!$Z$7-0.2*($P226))^2/('3. Detention'!$Z$7+0.8*($P226)),0)</f>
        <v>0.33606873075042792</v>
      </c>
      <c r="M226" s="24">
        <f>IF('3. Detention'!$AE$7&gt;0.2*($P226),('3. Detention'!$AE$7-0.2*($P226))^2/('3. Detention'!$AE$7+0.8*($P226)),0)</f>
        <v>1.3319518363531846</v>
      </c>
      <c r="N226" s="24">
        <f>IF('3. Detention'!$AJ$7&gt;0.2*($P226),('3. Detention'!$AJ$7-0.2*($P226))^2/('3. Detention'!$AJ$7+0.8*($P226)),0)</f>
        <v>3.4179259214781363</v>
      </c>
      <c r="O226" s="61">
        <f t="shared" si="6"/>
        <v>58.500000000000263</v>
      </c>
      <c r="P226" s="24">
        <f t="shared" si="5"/>
        <v>7.0940170940170155</v>
      </c>
    </row>
    <row r="227" spans="4:16" x14ac:dyDescent="0.3">
      <c r="D227" s="2">
        <v>227</v>
      </c>
      <c r="L227" s="24">
        <f>IF('3. Detention'!$Z$7&gt;0.2*($P227),('3. Detention'!$Z$7-0.2*($P227))^2/('3. Detention'!$Z$7+0.8*($P227)),0)</f>
        <v>0.33924895120242571</v>
      </c>
      <c r="M227" s="24">
        <f>IF('3. Detention'!$AE$7&gt;0.2*($P227),('3. Detention'!$AE$7-0.2*($P227))^2/('3. Detention'!$AE$7+0.8*($P227)),0)</f>
        <v>1.338897996567707</v>
      </c>
      <c r="N227" s="24">
        <f>IF('3. Detention'!$AJ$7&gt;0.2*($P227),('3. Detention'!$AJ$7-0.2*($P227))^2/('3. Detention'!$AJ$7+0.8*($P227)),0)</f>
        <v>3.4294007940434916</v>
      </c>
      <c r="O227" s="61">
        <f t="shared" si="6"/>
        <v>58.600000000000264</v>
      </c>
      <c r="P227" s="24">
        <f t="shared" si="5"/>
        <v>7.0648464163821743</v>
      </c>
    </row>
    <row r="228" spans="4:16" x14ac:dyDescent="0.3">
      <c r="D228" s="2">
        <v>228</v>
      </c>
      <c r="L228" s="24">
        <f>IF('3. Detention'!$Z$7&gt;0.2*($P228),('3. Detention'!$Z$7-0.2*($P228))^2/('3. Detention'!$Z$7+0.8*($P228)),0)</f>
        <v>0.34244290098799135</v>
      </c>
      <c r="M228" s="24">
        <f>IF('3. Detention'!$AE$7&gt;0.2*($P228),('3. Detention'!$AE$7-0.2*($P228))^2/('3. Detention'!$AE$7+0.8*($P228)),0)</f>
        <v>1.3458564312116614</v>
      </c>
      <c r="N228" s="24">
        <f>IF('3. Detention'!$AJ$7&gt;0.2*($P228),('3. Detention'!$AJ$7-0.2*($P228))^2/('3. Detention'!$AJ$7+0.8*($P228)),0)</f>
        <v>3.4408795634785649</v>
      </c>
      <c r="O228" s="61">
        <f t="shared" si="6"/>
        <v>58.700000000000266</v>
      </c>
      <c r="P228" s="24">
        <f t="shared" si="5"/>
        <v>7.0357751277682361</v>
      </c>
    </row>
    <row r="229" spans="4:16" x14ac:dyDescent="0.3">
      <c r="D229" s="2">
        <v>229</v>
      </c>
      <c r="L229" s="24">
        <f>IF('3. Detention'!$Z$7&gt;0.2*($P229),('3. Detention'!$Z$7-0.2*($P229))^2/('3. Detention'!$Z$7+0.8*($P229)),0)</f>
        <v>0.3456505795896439</v>
      </c>
      <c r="M229" s="24">
        <f>IF('3. Detention'!$AE$7&gt;0.2*($P229),('3. Detention'!$AE$7-0.2*($P229))^2/('3. Detention'!$AE$7+0.8*($P229)),0)</f>
        <v>1.352827124458581</v>
      </c>
      <c r="N229" s="24">
        <f>IF('3. Detention'!$AJ$7&gt;0.2*($P229),('3. Detention'!$AJ$7-0.2*($P229))^2/('3. Detention'!$AJ$7+0.8*($P229)),0)</f>
        <v>3.4523622045624367</v>
      </c>
      <c r="O229" s="61">
        <f t="shared" si="6"/>
        <v>58.800000000000267</v>
      </c>
      <c r="P229" s="24">
        <f t="shared" si="5"/>
        <v>7.0068027210883592</v>
      </c>
    </row>
    <row r="230" spans="4:16" x14ac:dyDescent="0.3">
      <c r="D230" s="2">
        <v>230</v>
      </c>
      <c r="L230" s="24">
        <f>IF('3. Detention'!$Z$7&gt;0.2*($P230),('3. Detention'!$Z$7-0.2*($P230))^2/('3. Detention'!$Z$7+0.8*($P230)),0)</f>
        <v>0.34887198675607001</v>
      </c>
      <c r="M230" s="24">
        <f>IF('3. Detention'!$AE$7&gt;0.2*($P230),('3. Detention'!$AE$7-0.2*($P230))^2/('3. Detention'!$AE$7+0.8*($P230)),0)</f>
        <v>1.3598100606707599</v>
      </c>
      <c r="N230" s="24">
        <f>IF('3. Detention'!$AJ$7&gt;0.2*($P230),('3. Detention'!$AJ$7-0.2*($P230))^2/('3. Detention'!$AJ$7+0.8*($P230)),0)</f>
        <v>3.4638486922463483</v>
      </c>
      <c r="O230" s="61">
        <f t="shared" si="6"/>
        <v>58.900000000000269</v>
      </c>
      <c r="P230" s="24">
        <f t="shared" si="5"/>
        <v>6.9779286926994146</v>
      </c>
    </row>
    <row r="231" spans="4:16" x14ac:dyDescent="0.3">
      <c r="D231" s="2">
        <v>231</v>
      </c>
      <c r="L231" s="24">
        <f>IF('3. Detention'!$Z$7&gt;0.2*($P231),('3. Detention'!$Z$7-0.2*($P231))^2/('3. Detention'!$Z$7+0.8*($P231)),0)</f>
        <v>0.35210712250110993</v>
      </c>
      <c r="M231" s="24">
        <f>IF('3. Detention'!$AE$7&gt;0.2*($P231),('3. Detention'!$AE$7-0.2*($P231))^2/('3. Detention'!$AE$7+0.8*($P231)),0)</f>
        <v>1.366805224397831</v>
      </c>
      <c r="N231" s="24">
        <f>IF('3. Detention'!$AJ$7&gt;0.2*($P231),('3. Detention'!$AJ$7-0.2*($P231))^2/('3. Detention'!$AJ$7+0.8*($P231)),0)</f>
        <v>3.4753390016522454</v>
      </c>
      <c r="O231" s="61">
        <f t="shared" si="6"/>
        <v>59.00000000000027</v>
      </c>
      <c r="P231" s="24">
        <f t="shared" si="5"/>
        <v>6.9491525423728042</v>
      </c>
    </row>
    <row r="232" spans="4:16" x14ac:dyDescent="0.3">
      <c r="D232" s="2">
        <v>232</v>
      </c>
      <c r="L232" s="24">
        <f>IF('3. Detention'!$Z$7&gt;0.2*($P232),('3. Detention'!$Z$7-0.2*($P232))^2/('3. Detention'!$Z$7+0.8*($P232)),0)</f>
        <v>0.35535598710275984</v>
      </c>
      <c r="M232" s="24">
        <f>IF('3. Detention'!$AE$7&gt;0.2*($P232),('3. Detention'!$AE$7-0.2*($P232))^2/('3. Detention'!$AE$7+0.8*($P232)),0)</f>
        <v>1.3738126003753588</v>
      </c>
      <c r="N232" s="24">
        <f>IF('3. Detention'!$AJ$7&gt;0.2*($P232),('3. Detention'!$AJ$7-0.2*($P232))^2/('3. Detention'!$AJ$7+0.8*($P232)),0)</f>
        <v>3.4868331080713331</v>
      </c>
      <c r="O232" s="61">
        <f t="shared" si="6"/>
        <v>59.100000000000271</v>
      </c>
      <c r="P232" s="24">
        <f t="shared" si="5"/>
        <v>6.9204737732655737</v>
      </c>
    </row>
    <row r="233" spans="4:16" x14ac:dyDescent="0.3">
      <c r="D233" s="2">
        <v>233</v>
      </c>
      <c r="L233" s="24">
        <f>IF('3. Detention'!$Z$7&gt;0.2*($P233),('3. Detention'!$Z$7-0.2*($P233))^2/('3. Detention'!$Z$7+0.8*($P233)),0)</f>
        <v>0.35861858110219313</v>
      </c>
      <c r="M233" s="24">
        <f>IF('3. Detention'!$AE$7&gt;0.2*($P233),('3. Detention'!$AE$7-0.2*($P233))^2/('3. Detention'!$AE$7+0.8*($P233)),0)</f>
        <v>1.3808321735234459</v>
      </c>
      <c r="N233" s="24">
        <f>IF('3. Detention'!$AJ$7&gt;0.2*($P233),('3. Detention'!$AJ$7-0.2*($P233))^2/('3. Detention'!$AJ$7+0.8*($P233)),0)</f>
        <v>3.4983309869626464</v>
      </c>
      <c r="O233" s="61">
        <f t="shared" si="6"/>
        <v>59.200000000000273</v>
      </c>
      <c r="P233" s="24">
        <f t="shared" ref="P233:P296" si="7">IF(O233&gt;0,1000/O233-10,1000)</f>
        <v>6.8918918918918131</v>
      </c>
    </row>
    <row r="234" spans="4:16" x14ac:dyDescent="0.3">
      <c r="D234" s="2">
        <v>234</v>
      </c>
      <c r="L234" s="24">
        <f>IF('3. Detention'!$Z$7&gt;0.2*($P234),('3. Detention'!$Z$7-0.2*($P234))^2/('3. Detention'!$Z$7+0.8*($P234)),0)</f>
        <v>0.36189490530279683</v>
      </c>
      <c r="M234" s="24">
        <f>IF('3. Detention'!$AE$7&gt;0.2*($P234),('3. Detention'!$AE$7-0.2*($P234))^2/('3. Detention'!$AE$7+0.8*($P234)),0)</f>
        <v>1.3878639289453532</v>
      </c>
      <c r="N234" s="24">
        <f>IF('3. Detention'!$AJ$7&gt;0.2*($P234),('3. Detention'!$AJ$7-0.2*($P234))^2/('3. Detention'!$AJ$7+0.8*($P234)),0)</f>
        <v>3.5098326139516378</v>
      </c>
      <c r="O234" s="61">
        <f t="shared" si="6"/>
        <v>59.300000000000274</v>
      </c>
      <c r="P234" s="24">
        <f t="shared" si="7"/>
        <v>6.863406408094356</v>
      </c>
    </row>
    <row r="235" spans="4:16" x14ac:dyDescent="0.3">
      <c r="D235" s="2">
        <v>235</v>
      </c>
      <c r="L235" s="24">
        <f>IF('3. Detention'!$Z$7&gt;0.2*($P235),('3. Detention'!$Z$7-0.2*($P235))^2/('3. Detention'!$Z$7+0.8*($P235)),0)</f>
        <v>0.36518496076922707</v>
      </c>
      <c r="M235" s="24">
        <f>IF('3. Detention'!$AE$7&gt;0.2*($P235),('3. Detention'!$AE$7-0.2*($P235))^2/('3. Detention'!$AE$7+0.8*($P235)),0)</f>
        <v>1.3949078519261358</v>
      </c>
      <c r="N235" s="24">
        <f>IF('3. Detention'!$AJ$7&gt;0.2*($P235),('3. Detention'!$AJ$7-0.2*($P235))^2/('3. Detention'!$AJ$7+0.8*($P235)),0)</f>
        <v>3.5213379648287724</v>
      </c>
      <c r="O235" s="61">
        <f t="shared" si="6"/>
        <v>59.400000000000276</v>
      </c>
      <c r="P235" s="24">
        <f t="shared" si="7"/>
        <v>6.8350168350167557</v>
      </c>
    </row>
    <row r="236" spans="4:16" x14ac:dyDescent="0.3">
      <c r="D236" s="2">
        <v>236</v>
      </c>
      <c r="L236" s="24">
        <f>IF('3. Detention'!$Z$7&gt;0.2*($P236),('3. Detention'!$Z$7-0.2*($P236))^2/('3. Detention'!$Z$7+0.8*($P236)),0)</f>
        <v>0.3684887488264782</v>
      </c>
      <c r="M236" s="24">
        <f>IF('3. Detention'!$AE$7&gt;0.2*($P236),('3. Detention'!$AE$7-0.2*($P236))^2/('3. Detention'!$AE$7+0.8*($P236)),0)</f>
        <v>1.4019639279312919</v>
      </c>
      <c r="N236" s="24">
        <f>IF('3. Detention'!$AJ$7&gt;0.2*($P236),('3. Detention'!$AJ$7-0.2*($P236))^2/('3. Detention'!$AJ$7+0.8*($P236)),0)</f>
        <v>3.53284701554814</v>
      </c>
      <c r="O236" s="61">
        <f t="shared" si="6"/>
        <v>59.500000000000277</v>
      </c>
      <c r="P236" s="24">
        <f t="shared" si="7"/>
        <v>6.8067226890755528</v>
      </c>
    </row>
    <row r="237" spans="4:16" x14ac:dyDescent="0.3">
      <c r="D237" s="2">
        <v>237</v>
      </c>
      <c r="L237" s="24">
        <f>IF('3. Detention'!$Z$7&gt;0.2*($P237),('3. Detention'!$Z$7-0.2*($P237))^2/('3. Detention'!$Z$7+0.8*($P237)),0)</f>
        <v>0.37180627105897213</v>
      </c>
      <c r="M237" s="24">
        <f>IF('3. Detention'!$AE$7&gt;0.2*($P237),('3. Detention'!$AE$7-0.2*($P237))^2/('3. Detention'!$AE$7+0.8*($P237)),0)</f>
        <v>1.4090321426054289</v>
      </c>
      <c r="N237" s="24">
        <f>IF('3. Detention'!$AJ$7&gt;0.2*($P237),('3. Detention'!$AJ$7-0.2*($P237))^2/('3. Detention'!$AJ$7+0.8*($P237)),0)</f>
        <v>3.5443597422260886</v>
      </c>
      <c r="O237" s="61">
        <f t="shared" si="6"/>
        <v>59.600000000000279</v>
      </c>
      <c r="P237" s="24">
        <f t="shared" si="7"/>
        <v>6.7785234899328088</v>
      </c>
    </row>
    <row r="238" spans="4:16" x14ac:dyDescent="0.3">
      <c r="D238" s="2">
        <v>238</v>
      </c>
      <c r="L238" s="24">
        <f>IF('3. Detention'!$Z$7&gt;0.2*($P238),('3. Detention'!$Z$7-0.2*($P238))^2/('3. Detention'!$Z$7+0.8*($P238)),0)</f>
        <v>0.37513752930966127</v>
      </c>
      <c r="M238" s="24">
        <f>IF('3. Detention'!$AE$7&gt;0.2*($P238),('3. Detention'!$AE$7-0.2*($P238))^2/('3. Detention'!$AE$7+0.8*($P238)),0)</f>
        <v>1.4161124817709398</v>
      </c>
      <c r="N238" s="24">
        <f>IF('3. Detention'!$AJ$7&gt;0.2*($P238),('3. Detention'!$AJ$7-0.2*($P238))^2/('3. Detention'!$AJ$7+0.8*($P238)),0)</f>
        <v>3.5558761211398631</v>
      </c>
      <c r="O238" s="61">
        <f t="shared" si="6"/>
        <v>59.70000000000028</v>
      </c>
      <c r="P238" s="24">
        <f t="shared" si="7"/>
        <v>6.7504187604689321</v>
      </c>
    </row>
    <row r="239" spans="4:16" x14ac:dyDescent="0.3">
      <c r="D239" s="2">
        <v>239</v>
      </c>
      <c r="L239" s="24">
        <f>IF('3. Detention'!$Z$7&gt;0.2*($P239),('3. Detention'!$Z$7-0.2*($P239))^2/('3. Detention'!$Z$7+0.8*($P239)),0)</f>
        <v>0.37848252567914809</v>
      </c>
      <c r="M239" s="24">
        <f>IF('3. Detention'!$AE$7&gt;0.2*($P239),('3. Detention'!$AE$7-0.2*($P239))^2/('3. Detention'!$AE$7+0.8*($P239)),0)</f>
        <v>1.423204931426691</v>
      </c>
      <c r="N239" s="24">
        <f>IF('3. Detention'!$AJ$7&gt;0.2*($P239),('3. Detention'!$AJ$7-0.2*($P239))^2/('3. Detention'!$AJ$7+0.8*($P239)),0)</f>
        <v>3.5673961287262492</v>
      </c>
      <c r="O239" s="61">
        <f t="shared" si="6"/>
        <v>59.800000000000281</v>
      </c>
      <c r="P239" s="24">
        <f t="shared" si="7"/>
        <v>6.7224080267557724</v>
      </c>
    </row>
    <row r="240" spans="4:16" x14ac:dyDescent="0.3">
      <c r="D240" s="2">
        <v>240</v>
      </c>
      <c r="L240" s="24">
        <f>IF('3. Detention'!$Z$7&gt;0.2*($P240),('3. Detention'!$Z$7-0.2*($P240))^2/('3. Detention'!$Z$7+0.8*($P240)),0)</f>
        <v>0.38184126252482237</v>
      </c>
      <c r="M240" s="24">
        <f>IF('3. Detention'!$AE$7&gt;0.2*($P240),('3. Detention'!$AE$7-0.2*($P240))^2/('3. Detention'!$AE$7+0.8*($P240)),0)</f>
        <v>1.4303094777467318</v>
      </c>
      <c r="N240" s="24">
        <f>IF('3. Detention'!$AJ$7&gt;0.2*($P240),('3. Detention'!$AJ$7-0.2*($P240))^2/('3. Detention'!$AJ$7+0.8*($P240)),0)</f>
        <v>3.5789197415802554</v>
      </c>
      <c r="O240" s="61">
        <f t="shared" si="6"/>
        <v>59.900000000000283</v>
      </c>
      <c r="P240" s="24">
        <f t="shared" si="7"/>
        <v>6.6944908180299727</v>
      </c>
    </row>
    <row r="241" spans="4:16" x14ac:dyDescent="0.3">
      <c r="D241" s="2">
        <v>241</v>
      </c>
      <c r="L241" s="24">
        <f>IF('3. Detention'!$Z$7&gt;0.2*($P241),('3. Detention'!$Z$7-0.2*($P241))^2/('3. Detention'!$Z$7+0.8*($P241)),0)</f>
        <v>0.38521374246001511</v>
      </c>
      <c r="M241" s="24">
        <f>IF('3. Detention'!$AE$7&gt;0.2*($P241),('3. Detention'!$AE$7-0.2*($P241))^2/('3. Detention'!$AE$7+0.8*($P241)),0)</f>
        <v>1.4374261070790155</v>
      </c>
      <c r="N241" s="24">
        <f>IF('3. Detention'!$AJ$7&gt;0.2*($P241),('3. Detention'!$AJ$7-0.2*($P241))^2/('3. Detention'!$AJ$7+0.8*($P241)),0)</f>
        <v>3.5904469364537959</v>
      </c>
      <c r="O241" s="61">
        <f t="shared" si="6"/>
        <v>60.000000000000284</v>
      </c>
      <c r="P241" s="24">
        <f t="shared" si="7"/>
        <v>6.6666666666665861</v>
      </c>
    </row>
    <row r="242" spans="4:16" x14ac:dyDescent="0.3">
      <c r="D242" s="2">
        <v>242</v>
      </c>
      <c r="L242" s="24">
        <f>IF('3. Detention'!$Z$7&gt;0.2*($P242),('3. Detention'!$Z$7-0.2*($P242))^2/('3. Detention'!$Z$7+0.8*($P242)),0)</f>
        <v>0.38859996835316218</v>
      </c>
      <c r="M242" s="24">
        <f>IF('3. Detention'!$AE$7&gt;0.2*($P242),('3. Detention'!$AE$7-0.2*($P242))^2/('3. Detention'!$AE$7+0.8*($P242)),0)</f>
        <v>1.4445548059441184</v>
      </c>
      <c r="N242" s="24">
        <f>IF('3. Detention'!$AJ$7&gt;0.2*($P242),('3. Detention'!$AJ$7-0.2*($P242))^2/('3. Detention'!$AJ$7+0.8*($P242)),0)</f>
        <v>3.6019776902543645</v>
      </c>
      <c r="O242" s="61">
        <f t="shared" si="6"/>
        <v>60.100000000000286</v>
      </c>
      <c r="P242" s="24">
        <f t="shared" si="7"/>
        <v>6.6389351081529995</v>
      </c>
    </row>
    <row r="243" spans="4:16" x14ac:dyDescent="0.3">
      <c r="D243" s="2">
        <v>243</v>
      </c>
      <c r="L243" s="24">
        <f>IF('3. Detention'!$Z$7&gt;0.2*($P243),('3. Detention'!$Z$7-0.2*($P243))^2/('3. Detention'!$Z$7+0.8*($P243)),0)</f>
        <v>0.39199994332699378</v>
      </c>
      <c r="M243" s="24">
        <f>IF('3. Detention'!$AE$7&gt;0.2*($P243),('3. Detention'!$AE$7-0.2*($P243))^2/('3. Detention'!$AE$7+0.8*($P243)),0)</f>
        <v>1.4516955610340023</v>
      </c>
      <c r="N243" s="24">
        <f>IF('3. Detention'!$AJ$7&gt;0.2*($P243),('3. Detention'!$AJ$7-0.2*($P243))^2/('3. Detention'!$AJ$7+0.8*($P243)),0)</f>
        <v>3.6135119800437692</v>
      </c>
      <c r="O243" s="61">
        <f t="shared" si="6"/>
        <v>60.200000000000287</v>
      </c>
      <c r="P243" s="24">
        <f t="shared" si="7"/>
        <v>6.6112956810630443</v>
      </c>
    </row>
    <row r="244" spans="4:16" x14ac:dyDescent="0.3">
      <c r="D244" s="2">
        <v>244</v>
      </c>
      <c r="L244" s="24">
        <f>IF('3. Detention'!$Z$7&gt;0.2*($P244),('3. Detention'!$Z$7-0.2*($P244))^2/('3. Detention'!$Z$7+0.8*($P244)),0)</f>
        <v>0.39541367075773048</v>
      </c>
      <c r="M244" s="24">
        <f>IF('3. Detention'!$AE$7&gt;0.2*($P244),('3. Detention'!$AE$7-0.2*($P244))^2/('3. Detention'!$AE$7+0.8*($P244)),0)</f>
        <v>1.4588483592107571</v>
      </c>
      <c r="N244" s="24">
        <f>IF('3. Detention'!$AJ$7&gt;0.2*($P244),('3. Detention'!$AJ$7-0.2*($P244))^2/('3. Detention'!$AJ$7+0.8*($P244)),0)</f>
        <v>3.6250497830368329</v>
      </c>
      <c r="O244" s="61">
        <f t="shared" si="6"/>
        <v>60.300000000000288</v>
      </c>
      <c r="P244" s="24">
        <f t="shared" si="7"/>
        <v>6.5837479270314283</v>
      </c>
    </row>
    <row r="245" spans="4:16" x14ac:dyDescent="0.3">
      <c r="D245" s="2">
        <v>245</v>
      </c>
      <c r="L245" s="24">
        <f>IF('3. Detention'!$Z$7&gt;0.2*($P245),('3. Detention'!$Z$7-0.2*($P245))^2/('3. Detention'!$Z$7+0.8*($P245)),0)</f>
        <v>0.39884115427429856</v>
      </c>
      <c r="M245" s="24">
        <f>IF('3. Detention'!$AE$7&gt;0.2*($P245),('3. Detention'!$AE$7-0.2*($P245))^2/('3. Detention'!$AE$7+0.8*($P245)),0)</f>
        <v>1.4660131875053777</v>
      </c>
      <c r="N245" s="24">
        <f>IF('3. Detention'!$AJ$7&gt;0.2*($P245),('3. Detention'!$AJ$7-0.2*($P245))^2/('3. Detention'!$AJ$7+0.8*($P245)),0)</f>
        <v>3.636591076600133</v>
      </c>
      <c r="O245" s="61">
        <f t="shared" si="6"/>
        <v>60.40000000000029</v>
      </c>
      <c r="P245" s="24">
        <f t="shared" si="7"/>
        <v>6.5562913907283971</v>
      </c>
    </row>
    <row r="246" spans="4:16" x14ac:dyDescent="0.3">
      <c r="D246" s="2">
        <v>246</v>
      </c>
      <c r="L246" s="24">
        <f>IF('3. Detention'!$Z$7&gt;0.2*($P246),('3. Detention'!$Z$7-0.2*($P246))^2/('3. Detention'!$Z$7+0.8*($P246)),0)</f>
        <v>0.40228239775756175</v>
      </c>
      <c r="M246" s="24">
        <f>IF('3. Detention'!$AE$7&gt;0.2*($P246),('3. Detention'!$AE$7-0.2*($P246))^2/('3. Detention'!$AE$7+0.8*($P246)),0)</f>
        <v>1.4731900331165482</v>
      </c>
      <c r="N246" s="24">
        <f>IF('3. Detention'!$AJ$7&gt;0.2*($P246),('3. Detention'!$AJ$7-0.2*($P246))^2/('3. Detention'!$AJ$7+0.8*($P246)),0)</f>
        <v>3.6481358382507478</v>
      </c>
      <c r="O246" s="61">
        <f t="shared" si="6"/>
        <v>60.500000000000291</v>
      </c>
      <c r="P246" s="24">
        <f t="shared" si="7"/>
        <v>6.5289256198346308</v>
      </c>
    </row>
    <row r="247" spans="4:16" x14ac:dyDescent="0.3">
      <c r="D247" s="2">
        <v>247</v>
      </c>
      <c r="L247" s="24">
        <f>IF('3. Detention'!$Z$7&gt;0.2*($P247),('3. Detention'!$Z$7-0.2*($P247))^2/('3. Detention'!$Z$7+0.8*($P247)),0)</f>
        <v>0.40573740533956609</v>
      </c>
      <c r="M247" s="24">
        <f>IF('3. Detention'!$AE$7&gt;0.2*($P247),('3. Detention'!$AE$7-0.2*($P247))^2/('3. Detention'!$AE$7+0.8*($P247)),0)</f>
        <v>1.4803788834094354</v>
      </c>
      <c r="N247" s="24">
        <f>IF('3. Detention'!$AJ$7&gt;0.2*($P247),('3. Detention'!$AJ$7-0.2*($P247))^2/('3. Detention'!$AJ$7+0.8*($P247)),0)</f>
        <v>3.6596840456550148</v>
      </c>
      <c r="O247" s="61">
        <f t="shared" si="6"/>
        <v>60.600000000000293</v>
      </c>
      <c r="P247" s="24">
        <f t="shared" si="7"/>
        <v>6.5016501650164216</v>
      </c>
    </row>
    <row r="248" spans="4:16" x14ac:dyDescent="0.3">
      <c r="D248" s="2">
        <v>248</v>
      </c>
      <c r="L248" s="24">
        <f>IF('3. Detention'!$Z$7&gt;0.2*($P248),('3. Detention'!$Z$7-0.2*($P248))^2/('3. Detention'!$Z$7+0.8*($P248)),0)</f>
        <v>0.40920618140280013</v>
      </c>
      <c r="M248" s="24">
        <f>IF('3. Detention'!$AE$7&gt;0.2*($P248),('3. Detention'!$AE$7-0.2*($P248))^2/('3. Detention'!$AE$7+0.8*($P248)),0)</f>
        <v>1.4875797259144958</v>
      </c>
      <c r="N248" s="24">
        <f>IF('3. Detention'!$AJ$7&gt;0.2*($P248),('3. Detention'!$AJ$7-0.2*($P248))^2/('3. Detention'!$AJ$7+0.8*($P248)),0)</f>
        <v>3.6712356766272984</v>
      </c>
      <c r="O248" s="61">
        <f t="shared" si="6"/>
        <v>60.700000000000294</v>
      </c>
      <c r="P248" s="24">
        <f t="shared" si="7"/>
        <v>6.474464579901074</v>
      </c>
    </row>
    <row r="249" spans="4:16" x14ac:dyDescent="0.3">
      <c r="D249" s="2">
        <v>249</v>
      </c>
      <c r="L249" s="24">
        <f>IF('3. Detention'!$Z$7&gt;0.2*($P249),('3. Detention'!$Z$7-0.2*($P249))^2/('3. Detention'!$Z$7+0.8*($P249)),0)</f>
        <v>0.41268873057947164</v>
      </c>
      <c r="M249" s="24">
        <f>IF('3. Detention'!$AE$7&gt;0.2*($P249),('3. Detention'!$AE$7-0.2*($P249))^2/('3. Detention'!$AE$7+0.8*($P249)),0)</f>
        <v>1.4947925483263014</v>
      </c>
      <c r="N249" s="24">
        <f>IF('3. Detention'!$AJ$7&gt;0.2*($P249),('3. Detention'!$AJ$7-0.2*($P249))^2/('3. Detention'!$AJ$7+0.8*($P249)),0)</f>
        <v>3.6827907091287786</v>
      </c>
      <c r="O249" s="61">
        <f t="shared" si="6"/>
        <v>60.800000000000296</v>
      </c>
      <c r="P249" s="24">
        <f t="shared" si="7"/>
        <v>6.4473684210525519</v>
      </c>
    </row>
    <row r="250" spans="4:16" x14ac:dyDescent="0.3">
      <c r="D250" s="2">
        <v>250</v>
      </c>
      <c r="L250" s="24">
        <f>IF('3. Detention'!$Z$7&gt;0.2*($P250),('3. Detention'!$Z$7-0.2*($P250))^2/('3. Detention'!$Z$7+0.8*($P250)),0)</f>
        <v>0.41618505775079717</v>
      </c>
      <c r="M250" s="24">
        <f>IF('3. Detention'!$AE$7&gt;0.2*($P250),('3. Detention'!$AE$7-0.2*($P250))^2/('3. Detention'!$AE$7+0.8*($P250)),0)</f>
        <v>1.5020173385023634</v>
      </c>
      <c r="N250" s="24">
        <f>IF('3. Detention'!$AJ$7&gt;0.2*($P250),('3. Detention'!$AJ$7-0.2*($P250))^2/('3. Detention'!$AJ$7+0.8*($P250)),0)</f>
        <v>3.6943491212662338</v>
      </c>
      <c r="O250" s="61">
        <f t="shared" si="6"/>
        <v>60.900000000000297</v>
      </c>
      <c r="P250" s="24">
        <f t="shared" si="7"/>
        <v>6.4203612479473762</v>
      </c>
    </row>
    <row r="251" spans="4:16" x14ac:dyDescent="0.3">
      <c r="D251" s="2">
        <v>251</v>
      </c>
      <c r="L251" s="24">
        <f>IF('3. Detention'!$Z$7&gt;0.2*($P251),('3. Detention'!$Z$7-0.2*($P251))^2/('3. Detention'!$Z$7+0.8*($P251)),0)</f>
        <v>0.41969516804630819</v>
      </c>
      <c r="M251" s="24">
        <f>IF('3. Detention'!$AE$7&gt;0.2*($P251),('3. Detention'!$AE$7-0.2*($P251))^2/('3. Detention'!$AE$7+0.8*($P251)),0)</f>
        <v>1.5092540844619851</v>
      </c>
      <c r="N251" s="24">
        <f>IF('3. Detention'!$AJ$7&gt;0.2*($P251),('3. Detention'!$AJ$7-0.2*($P251))^2/('3. Detention'!$AJ$7+0.8*($P251)),0)</f>
        <v>3.7059108912908605</v>
      </c>
      <c r="O251" s="61">
        <f t="shared" si="6"/>
        <v>61.000000000000298</v>
      </c>
      <c r="P251" s="24">
        <f t="shared" si="7"/>
        <v>6.3934426229507402</v>
      </c>
    </row>
    <row r="252" spans="4:16" x14ac:dyDescent="0.3">
      <c r="D252" s="2">
        <v>252</v>
      </c>
      <c r="L252" s="24">
        <f>IF('3. Detention'!$Z$7&gt;0.2*($P252),('3. Detention'!$Z$7-0.2*($P252))^2/('3. Detention'!$Z$7+0.8*($P252)),0)</f>
        <v>0.42321906684316979</v>
      </c>
      <c r="M252" s="24">
        <f>IF('3. Detention'!$AE$7&gt;0.2*($P252),('3. Detention'!$AE$7-0.2*($P252))^2/('3. Detention'!$AE$7+0.8*($P252)),0)</f>
        <v>1.5165027743851123</v>
      </c>
      <c r="N252" s="24">
        <f>IF('3. Detention'!$AJ$7&gt;0.2*($P252),('3. Detention'!$AJ$7-0.2*($P252))^2/('3. Detention'!$AJ$7+0.8*($P252)),0)</f>
        <v>3.7174759975970826</v>
      </c>
      <c r="O252" s="61">
        <f t="shared" si="6"/>
        <v>61.1000000000003</v>
      </c>
      <c r="P252" s="24">
        <f t="shared" si="7"/>
        <v>6.3666121112928806</v>
      </c>
    </row>
    <row r="253" spans="4:16" x14ac:dyDescent="0.3">
      <c r="D253" s="2">
        <v>253</v>
      </c>
      <c r="L253" s="24">
        <f>IF('3. Detention'!$Z$7&gt;0.2*($P253),('3. Detention'!$Z$7-0.2*($P253))^2/('3. Detention'!$Z$7+0.8*($P253)),0)</f>
        <v>0.42675675976551508</v>
      </c>
      <c r="M253" s="24">
        <f>IF('3. Detention'!$AE$7&gt;0.2*($P253),('3. Detention'!$AE$7-0.2*($P253))^2/('3. Detention'!$AE$7+0.8*($P253)),0)</f>
        <v>1.5237633966112016</v>
      </c>
      <c r="N253" s="24">
        <f>IF('3. Detention'!$AJ$7&gt;0.2*($P253),('3. Detention'!$AJ$7-0.2*($P253))^2/('3. Detention'!$AJ$7+0.8*($P253)),0)</f>
        <v>3.7290444187213798</v>
      </c>
      <c r="O253" s="61">
        <f t="shared" si="6"/>
        <v>61.200000000000301</v>
      </c>
      <c r="P253" s="24">
        <f t="shared" si="7"/>
        <v>6.3398692810456723</v>
      </c>
    </row>
    <row r="254" spans="4:16" x14ac:dyDescent="0.3">
      <c r="D254" s="2">
        <v>254</v>
      </c>
      <c r="L254" s="24">
        <f>IF('3. Detention'!$Z$7&gt;0.2*($P254),('3. Detention'!$Z$7-0.2*($P254))^2/('3. Detention'!$Z$7+0.8*($P254)),0)</f>
        <v>0.43030825268379641</v>
      </c>
      <c r="M254" s="24">
        <f>IF('3. Detention'!$AE$7&gt;0.2*($P254),('3. Detention'!$AE$7-0.2*($P254))^2/('3. Detention'!$AE$7+0.8*($P254)),0)</f>
        <v>1.5310359396381057</v>
      </c>
      <c r="N254" s="24">
        <f>IF('3. Detention'!$AJ$7&gt;0.2*($P254),('3. Detention'!$AJ$7-0.2*($P254))^2/('3. Detention'!$AJ$7+0.8*($P254)),0)</f>
        <v>3.7406161333411418</v>
      </c>
      <c r="O254" s="61">
        <f t="shared" si="6"/>
        <v>61.300000000000303</v>
      </c>
      <c r="P254" s="24">
        <f t="shared" si="7"/>
        <v>6.3132137030994286</v>
      </c>
    </row>
    <row r="255" spans="4:16" x14ac:dyDescent="0.3">
      <c r="D255" s="2">
        <v>255</v>
      </c>
      <c r="L255" s="24">
        <f>IF('3. Detention'!$Z$7&gt;0.2*($P255),('3. Detention'!$Z$7-0.2*($P255))^2/('3. Detention'!$Z$7+0.8*($P255)),0)</f>
        <v>0.43387355171414471</v>
      </c>
      <c r="M255" s="24">
        <f>IF('3. Detention'!$AE$7&gt;0.2*($P255),('3. Detention'!$AE$7-0.2*($P255))^2/('3. Detention'!$AE$7+0.8*($P255)),0)</f>
        <v>1.5383203921209561</v>
      </c>
      <c r="N255" s="24">
        <f>IF('3. Detention'!$AJ$7&gt;0.2*($P255),('3. Detention'!$AJ$7-0.2*($P255))^2/('3. Detention'!$AJ$7+0.8*($P255)),0)</f>
        <v>3.7521911202735025</v>
      </c>
      <c r="O255" s="61">
        <f t="shared" si="6"/>
        <v>61.400000000000304</v>
      </c>
      <c r="P255" s="24">
        <f t="shared" si="7"/>
        <v>6.2866449511399836</v>
      </c>
    </row>
    <row r="256" spans="4:16" x14ac:dyDescent="0.3">
      <c r="D256" s="2">
        <v>256</v>
      </c>
      <c r="L256" s="24">
        <f>IF('3. Detention'!$Z$7&gt;0.2*($P256),('3. Detention'!$Z$7-0.2*($P256))^2/('3. Detention'!$Z$7+0.8*($P256)),0)</f>
        <v>0.43745266321774884</v>
      </c>
      <c r="M256" s="24">
        <f>IF('3. Detention'!$AE$7&gt;0.2*($P256),('3. Detention'!$AE$7-0.2*($P256))^2/('3. Detention'!$AE$7+0.8*($P256)),0)</f>
        <v>1.5456167428710699</v>
      </c>
      <c r="N256" s="24">
        <f>IF('3. Detention'!$AJ$7&gt;0.2*($P256),('3. Detention'!$AJ$7-0.2*($P256))^2/('3. Detention'!$AJ$7+0.8*($P256)),0)</f>
        <v>3.7637693584742169</v>
      </c>
      <c r="O256" s="61">
        <f t="shared" si="6"/>
        <v>61.500000000000306</v>
      </c>
      <c r="P256" s="24">
        <f t="shared" si="7"/>
        <v>6.260162601625936</v>
      </c>
    </row>
    <row r="257" spans="4:16" x14ac:dyDescent="0.3">
      <c r="D257" s="2">
        <v>257</v>
      </c>
      <c r="L257" s="24">
        <f>IF('3. Detention'!$Z$7&gt;0.2*($P257),('3. Detention'!$Z$7-0.2*($P257))^2/('3. Detention'!$Z$7+0.8*($P257)),0)</f>
        <v>0.44104559380024688</v>
      </c>
      <c r="M257" s="24">
        <f>IF('3. Detention'!$AE$7&gt;0.2*($P257),('3. Detention'!$AE$7-0.2*($P257))^2/('3. Detention'!$AE$7+0.8*($P257)),0)</f>
        <v>1.5529249808548626</v>
      </c>
      <c r="N257" s="24">
        <f>IF('3. Detention'!$AJ$7&gt;0.2*($P257),('3. Detention'!$AJ$7-0.2*($P257))^2/('3. Detention'!$AJ$7+0.8*($P257)),0)</f>
        <v>3.7753508270365299</v>
      </c>
      <c r="O257" s="61">
        <f t="shared" si="6"/>
        <v>61.600000000000307</v>
      </c>
      <c r="P257" s="24">
        <f t="shared" si="7"/>
        <v>6.2337662337661541</v>
      </c>
    </row>
    <row r="258" spans="4:16" x14ac:dyDescent="0.3">
      <c r="D258" s="2">
        <v>258</v>
      </c>
      <c r="L258" s="24">
        <f>IF('3. Detention'!$Z$7&gt;0.2*($P258),('3. Detention'!$Z$7-0.2*($P258))^2/('3. Detention'!$Z$7+0.8*($P258)),0)</f>
        <v>0.44465235031113048</v>
      </c>
      <c r="M258" s="24">
        <f>IF('3. Detention'!$AE$7&gt;0.2*($P258),('3. Detention'!$AE$7-0.2*($P258))^2/('3. Detention'!$AE$7+0.8*($P258)),0)</f>
        <v>1.5602450951927729</v>
      </c>
      <c r="N258" s="24">
        <f>IF('3. Detention'!$AJ$7&gt;0.2*($P258),('3. Detention'!$AJ$7-0.2*($P258))^2/('3. Detention'!$AJ$7+0.8*($P258)),0)</f>
        <v>3.7869355051900673</v>
      </c>
      <c r="O258" s="61">
        <f t="shared" si="6"/>
        <v>61.700000000000308</v>
      </c>
      <c r="P258" s="24">
        <f t="shared" si="7"/>
        <v>6.2074554294974895</v>
      </c>
    </row>
    <row r="259" spans="4:16" x14ac:dyDescent="0.3">
      <c r="D259" s="2">
        <v>259</v>
      </c>
      <c r="L259" s="24">
        <f>IF('3. Detention'!$Z$7&gt;0.2*($P259),('3. Detention'!$Z$7-0.2*($P259))^2/('3. Detention'!$Z$7+0.8*($P259)),0)</f>
        <v>0.44827293984316446</v>
      </c>
      <c r="M259" s="24">
        <f>IF('3. Detention'!$AE$7&gt;0.2*($P259),('3. Detention'!$AE$7-0.2*($P259))^2/('3. Detention'!$AE$7+0.8*($P259)),0)</f>
        <v>1.5675770751581952</v>
      </c>
      <c r="N259" s="24">
        <f>IF('3. Detention'!$AJ$7&gt;0.2*($P259),('3. Detention'!$AJ$7-0.2*($P259))^2/('3. Detention'!$AJ$7+0.8*($P259)),0)</f>
        <v>3.7985233722997234</v>
      </c>
      <c r="O259" s="61">
        <f t="shared" si="6"/>
        <v>61.80000000000031</v>
      </c>
      <c r="P259" s="24">
        <f t="shared" si="7"/>
        <v>6.1812297734627037</v>
      </c>
    </row>
    <row r="260" spans="4:16" x14ac:dyDescent="0.3">
      <c r="D260" s="2">
        <v>260</v>
      </c>
      <c r="L260" s="24">
        <f>IF('3. Detention'!$Z$7&gt;0.2*($P260),('3. Detention'!$Z$7-0.2*($P260))^2/('3. Detention'!$Z$7+0.8*($P260)),0)</f>
        <v>0.4519073697318195</v>
      </c>
      <c r="M260" s="24">
        <f>IF('3. Detention'!$AE$7&gt;0.2*($P260),('3. Detention'!$AE$7-0.2*($P260))^2/('3. Detention'!$AE$7+0.8*($P260)),0)</f>
        <v>1.574920910176429</v>
      </c>
      <c r="N260" s="24">
        <f>IF('3. Detention'!$AJ$7&gt;0.2*($P260),('3. Detention'!$AJ$7-0.2*($P260))^2/('3. Detention'!$AJ$7+0.8*($P260)),0)</f>
        <v>3.8101144078645741</v>
      </c>
      <c r="O260" s="61">
        <f t="shared" si="6"/>
        <v>61.900000000000311</v>
      </c>
      <c r="P260" s="24">
        <f t="shared" si="7"/>
        <v>6.1550888529886087</v>
      </c>
    </row>
    <row r="261" spans="4:16" x14ac:dyDescent="0.3">
      <c r="D261" s="2">
        <v>261</v>
      </c>
      <c r="L261" s="24">
        <f>IF('3. Detention'!$Z$7&gt;0.2*($P261),('3. Detention'!$Z$7-0.2*($P261))^2/('3. Detention'!$Z$7+0.8*($P261)),0)</f>
        <v>0.45555564755471711</v>
      </c>
      <c r="M261" s="24">
        <f>IF('3. Detention'!$AE$7&gt;0.2*($P261),('3. Detention'!$AE$7-0.2*($P261))^2/('3. Detention'!$AE$7+0.8*($P261)),0)</f>
        <v>1.5822765898236322</v>
      </c>
      <c r="N261" s="24">
        <f>IF('3. Detention'!$AJ$7&gt;0.2*($P261),('3. Detention'!$AJ$7-0.2*($P261))^2/('3. Detention'!$AJ$7+0.8*($P261)),0)</f>
        <v>3.8217085915167952</v>
      </c>
      <c r="O261" s="61">
        <f t="shared" si="6"/>
        <v>62.000000000000313</v>
      </c>
      <c r="P261" s="24">
        <f t="shared" si="7"/>
        <v>6.1290322580644343</v>
      </c>
    </row>
    <row r="262" spans="4:16" x14ac:dyDescent="0.3">
      <c r="D262" s="2">
        <v>262</v>
      </c>
      <c r="L262" s="24">
        <f>IF('3. Detention'!$Z$7&gt;0.2*($P262),('3. Detention'!$Z$7-0.2*($P262))^2/('3. Detention'!$Z$7+0.8*($P262)),0)</f>
        <v>0.45921778113109302</v>
      </c>
      <c r="M262" s="24">
        <f>IF('3. Detention'!$AE$7&gt;0.2*($P262),('3. Detention'!$AE$7-0.2*($P262))^2/('3. Detention'!$AE$7+0.8*($P262)),0)</f>
        <v>1.589644103825792</v>
      </c>
      <c r="N262" s="24">
        <f>IF('3. Detention'!$AJ$7&gt;0.2*($P262),('3. Detention'!$AJ$7-0.2*($P262))^2/('3. Detention'!$AJ$7+0.8*($P262)),0)</f>
        <v>3.8333059030205883</v>
      </c>
      <c r="O262" s="61">
        <f t="shared" si="6"/>
        <v>62.100000000000314</v>
      </c>
      <c r="P262" s="24">
        <f t="shared" si="7"/>
        <v>6.1030595813203696</v>
      </c>
    </row>
    <row r="263" spans="4:16" x14ac:dyDescent="0.3">
      <c r="D263" s="2">
        <v>263</v>
      </c>
      <c r="L263" s="24">
        <f>IF('3. Detention'!$Z$7&gt;0.2*($P263),('3. Detention'!$Z$7-0.2*($P263))^2/('3. Detention'!$Z$7+0.8*($P263)),0)</f>
        <v>0.4628937785212674</v>
      </c>
      <c r="M263" s="24">
        <f>IF('3. Detention'!$AE$7&gt;0.2*($P263),('3. Detention'!$AE$7-0.2*($P263))^2/('3. Detention'!$AE$7+0.8*($P263)),0)</f>
        <v>1.5970234420577019</v>
      </c>
      <c r="N263" s="24">
        <f>IF('3. Detention'!$AJ$7&gt;0.2*($P263),('3. Detention'!$AJ$7-0.2*($P263))^2/('3. Detention'!$AJ$7+0.8*($P263)),0)</f>
        <v>3.8449063222711213</v>
      </c>
      <c r="O263" s="61">
        <f t="shared" si="6"/>
        <v>62.200000000000315</v>
      </c>
      <c r="P263" s="24">
        <f t="shared" si="7"/>
        <v>6.0771704180063502</v>
      </c>
    </row>
    <row r="264" spans="4:16" x14ac:dyDescent="0.3">
      <c r="D264" s="2">
        <v>264</v>
      </c>
      <c r="L264" s="24">
        <f>IF('3. Detention'!$Z$7&gt;0.2*($P264),('3. Detention'!$Z$7-0.2*($P264))^2/('3. Detention'!$Z$7+0.8*($P264)),0)</f>
        <v>0.4665836480261335</v>
      </c>
      <c r="M264" s="24">
        <f>IF('3. Detention'!$AE$7&gt;0.2*($P264),('3. Detention'!$AE$7-0.2*($P264))^2/('3. Detention'!$AE$7+0.8*($P264)),0)</f>
        <v>1.6044145945419472</v>
      </c>
      <c r="N264" s="24">
        <f>IF('3. Detention'!$AJ$7&gt;0.2*($P264),('3. Detention'!$AJ$7-0.2*($P264))^2/('3. Detention'!$AJ$7+0.8*($P264)),0)</f>
        <v>3.8565098292934756</v>
      </c>
      <c r="O264" s="61">
        <f t="shared" si="6"/>
        <v>62.300000000000317</v>
      </c>
      <c r="P264" s="24">
        <f t="shared" si="7"/>
        <v>6.0513643659710254</v>
      </c>
    </row>
    <row r="265" spans="4:16" x14ac:dyDescent="0.3">
      <c r="D265" s="2">
        <v>265</v>
      </c>
      <c r="L265" s="24">
        <f>IF('3. Detention'!$Z$7&gt;0.2*($P265),('3. Detention'!$Z$7-0.2*($P265))^2/('3. Detention'!$Z$7+0.8*($P265)),0)</f>
        <v>0.47028739818665621</v>
      </c>
      <c r="M265" s="24">
        <f>IF('3. Detention'!$AE$7&gt;0.2*($P265),('3. Detention'!$AE$7-0.2*($P265))^2/('3. Detention'!$AE$7+0.8*($P265)),0)</f>
        <v>1.6118175514479045</v>
      </c>
      <c r="N265" s="24">
        <f>IF('3. Detention'!$AJ$7&gt;0.2*($P265),('3. Detention'!$AJ$7-0.2*($P265))^2/('3. Detention'!$AJ$7+0.8*($P265)),0)</f>
        <v>3.8681164042416021</v>
      </c>
      <c r="O265" s="61">
        <f t="shared" si="6"/>
        <v>62.400000000000318</v>
      </c>
      <c r="P265" s="24">
        <f t="shared" si="7"/>
        <v>6.0256410256409438</v>
      </c>
    </row>
    <row r="266" spans="4:16" x14ac:dyDescent="0.3">
      <c r="D266" s="2">
        <v>266</v>
      </c>
      <c r="L266" s="24">
        <f>IF('3. Detention'!$Z$7&gt;0.2*($P266),('3. Detention'!$Z$7-0.2*($P266))^2/('3. Detention'!$Z$7+0.8*($P266)),0)</f>
        <v>0.47400503778338715</v>
      </c>
      <c r="M266" s="24">
        <f>IF('3. Detention'!$AE$7&gt;0.2*($P266),('3. Detention'!$AE$7-0.2*($P266))^2/('3. Detention'!$AE$7+0.8*($P266)),0)</f>
        <v>1.6192323030907521</v>
      </c>
      <c r="N266" s="24">
        <f>IF('3. Detention'!$AJ$7&gt;0.2*($P266),('3. Detention'!$AJ$7-0.2*($P266))^2/('3. Detention'!$AJ$7+0.8*($P266)),0)</f>
        <v>3.8797260273972975</v>
      </c>
      <c r="O266" s="61">
        <f t="shared" si="6"/>
        <v>62.50000000000032</v>
      </c>
      <c r="P266" s="24">
        <f t="shared" si="7"/>
        <v>5.9999999999999183</v>
      </c>
    </row>
    <row r="267" spans="4:16" x14ac:dyDescent="0.3">
      <c r="D267" s="2">
        <v>267</v>
      </c>
      <c r="L267" s="24">
        <f>IF('3. Detention'!$Z$7&gt;0.2*($P267),('3. Detention'!$Z$7-0.2*($P267))^2/('3. Detention'!$Z$7+0.8*($P267)),0)</f>
        <v>0.47773657583598955</v>
      </c>
      <c r="M267" s="24">
        <f>IF('3. Detention'!$AE$7&gt;0.2*($P267),('3. Detention'!$AE$7-0.2*($P267))^2/('3. Detention'!$AE$7+0.8*($P267)),0)</f>
        <v>1.6266588399304858</v>
      </c>
      <c r="N267" s="24">
        <f>IF('3. Detention'!$AJ$7&gt;0.2*($P267),('3. Detention'!$AJ$7-0.2*($P267))^2/('3. Detention'!$AJ$7+0.8*($P267)),0)</f>
        <v>3.8913386791691762</v>
      </c>
      <c r="O267" s="61">
        <f t="shared" si="6"/>
        <v>62.600000000000321</v>
      </c>
      <c r="P267" s="24">
        <f t="shared" si="7"/>
        <v>5.9744408945686089</v>
      </c>
    </row>
    <row r="268" spans="4:16" x14ac:dyDescent="0.3">
      <c r="D268" s="2">
        <v>268</v>
      </c>
      <c r="L268" s="24">
        <f>IF('3. Detention'!$Z$7&gt;0.2*($P268),('3. Detention'!$Z$7-0.2*($P268))^2/('3. Detention'!$Z$7+0.8*($P268)),0)</f>
        <v>0.48148202160277809</v>
      </c>
      <c r="M268" s="24">
        <f>IF('3. Detention'!$AE$7&gt;0.2*($P268),('3. Detention'!$AE$7-0.2*($P268))^2/('3. Detention'!$AE$7+0.8*($P268)),0)</f>
        <v>1.6340971525709493</v>
      </c>
      <c r="N268" s="24">
        <f>IF('3. Detention'!$AJ$7&gt;0.2*($P268),('3. Detention'!$AJ$7-0.2*($P268))^2/('3. Detention'!$AJ$7+0.8*($P268)),0)</f>
        <v>3.9029543400916626</v>
      </c>
      <c r="O268" s="61">
        <f t="shared" si="6"/>
        <v>62.700000000000323</v>
      </c>
      <c r="P268" s="24">
        <f t="shared" si="7"/>
        <v>5.9489633173842886</v>
      </c>
    </row>
    <row r="269" spans="4:16" x14ac:dyDescent="0.3">
      <c r="D269" s="2">
        <v>269</v>
      </c>
      <c r="L269" s="24">
        <f>IF('3. Detention'!$Z$7&gt;0.2*($P269),('3. Detention'!$Z$7-0.2*($P269))^2/('3. Detention'!$Z$7+0.8*($P269)),0)</f>
        <v>0.48524138458027161</v>
      </c>
      <c r="M269" s="24">
        <f>IF('3. Detention'!$AE$7&gt;0.2*($P269),('3. Detention'!$AE$7-0.2*($P269))^2/('3. Detention'!$AE$7+0.8*($P269)),0)</f>
        <v>1.641547231758872</v>
      </c>
      <c r="N269" s="24">
        <f>IF('3. Detention'!$AJ$7&gt;0.2*($P269),('3. Detention'!$AJ$7-0.2*($P269))^2/('3. Detention'!$AJ$7+0.8*($P269)),0)</f>
        <v>3.9145729908239915</v>
      </c>
      <c r="O269" s="61">
        <f t="shared" si="6"/>
        <v>62.800000000000324</v>
      </c>
      <c r="P269" s="24">
        <f t="shared" si="7"/>
        <v>5.9235668789808091</v>
      </c>
    </row>
    <row r="270" spans="4:16" x14ac:dyDescent="0.3">
      <c r="D270" s="2">
        <v>270</v>
      </c>
      <c r="L270" s="24">
        <f>IF('3. Detention'!$Z$7&gt;0.2*($P270),('3. Detention'!$Z$7-0.2*($P270))^2/('3. Detention'!$Z$7+0.8*($P270)),0)</f>
        <v>0.48901467450275671</v>
      </c>
      <c r="M270" s="24">
        <f>IF('3. Detention'!$AE$7&gt;0.2*($P270),('3. Detention'!$AE$7-0.2*($P270))^2/('3. Detention'!$AE$7+0.8*($P270)),0)</f>
        <v>1.6490090683829108</v>
      </c>
      <c r="N270" s="24">
        <f>IF('3. Detention'!$AJ$7&gt;0.2*($P270),('3. Detention'!$AJ$7-0.2*($P270))^2/('3. Detention'!$AJ$7+0.8*($P270)),0)</f>
        <v>3.9261946121492022</v>
      </c>
      <c r="O270" s="61">
        <f t="shared" si="6"/>
        <v>62.900000000000325</v>
      </c>
      <c r="P270" s="24">
        <f t="shared" si="7"/>
        <v>5.8982511923687575</v>
      </c>
    </row>
    <row r="271" spans="4:16" x14ac:dyDescent="0.3">
      <c r="D271" s="2">
        <v>271</v>
      </c>
      <c r="L271" s="24">
        <f>IF('3. Detention'!$Z$7&gt;0.2*($P271),('3. Detention'!$Z$7-0.2*($P271))^2/('3. Detention'!$Z$7+0.8*($P271)),0)</f>
        <v>0.49280190134186774</v>
      </c>
      <c r="M271" s="24">
        <f>IF('3. Detention'!$AE$7&gt;0.2*($P271),('3. Detention'!$AE$7-0.2*($P271))^2/('3. Detention'!$AE$7+0.8*($P271)),0)</f>
        <v>1.6564826534727179</v>
      </c>
      <c r="N271" s="24">
        <f>IF('3. Detention'!$AJ$7&gt;0.2*($P271),('3. Detention'!$AJ$7-0.2*($P271))^2/('3. Detention'!$AJ$7+0.8*($P271)),0)</f>
        <v>3.9378191849731761</v>
      </c>
      <c r="O271" s="61">
        <f t="shared" si="6"/>
        <v>63.000000000000327</v>
      </c>
      <c r="P271" s="24">
        <f t="shared" si="7"/>
        <v>5.87301587301579</v>
      </c>
    </row>
    <row r="272" spans="4:16" x14ac:dyDescent="0.3">
      <c r="D272" s="2">
        <v>272</v>
      </c>
      <c r="L272" s="24">
        <f>IF('3. Detention'!$Z$7&gt;0.2*($P272),('3. Detention'!$Z$7-0.2*($P272))^2/('3. Detention'!$Z$7+0.8*($P272)),0)</f>
        <v>0.49660307530617503</v>
      </c>
      <c r="M272" s="24">
        <f>IF('3. Detention'!$AE$7&gt;0.2*($P272),('3. Detention'!$AE$7-0.2*($P272))^2/('3. Detention'!$AE$7+0.8*($P272)),0)</f>
        <v>1.6639679781979995</v>
      </c>
      <c r="N272" s="24">
        <f>IF('3. Detention'!$AJ$7&gt;0.2*($P272),('3. Detention'!$AJ$7-0.2*($P272))^2/('3. Detention'!$AJ$7+0.8*($P272)),0)</f>
        <v>3.9494466903236476</v>
      </c>
      <c r="O272" s="61">
        <f t="shared" si="6"/>
        <v>63.100000000000328</v>
      </c>
      <c r="P272" s="24">
        <f t="shared" si="7"/>
        <v>5.8478605388271756</v>
      </c>
    </row>
    <row r="273" spans="4:16" x14ac:dyDescent="0.3">
      <c r="D273" s="2">
        <v>273</v>
      </c>
      <c r="L273" s="24">
        <f>IF('3. Detention'!$Z$7&gt;0.2*($P273),('3. Detention'!$Z$7-0.2*($P273))^2/('3. Detention'!$Z$7+0.8*($P273)),0)</f>
        <v>0.50041820684078964</v>
      </c>
      <c r="M273" s="24">
        <f>IF('3. Detention'!$AE$7&gt;0.2*($P273),('3. Detention'!$AE$7-0.2*($P273))^2/('3. Detention'!$AE$7+0.8*($P273)),0)</f>
        <v>1.6714650338675945</v>
      </c>
      <c r="N273" s="24">
        <f>IF('3. Detention'!$AJ$7&gt;0.2*($P273),('3. Detention'!$AJ$7-0.2*($P273))^2/('3. Detention'!$AJ$7+0.8*($P273)),0)</f>
        <v>3.9610771093492478</v>
      </c>
      <c r="O273" s="61">
        <f t="shared" si="6"/>
        <v>63.20000000000033</v>
      </c>
      <c r="P273" s="24">
        <f t="shared" si="7"/>
        <v>5.8227848101264996</v>
      </c>
    </row>
    <row r="274" spans="4:16" x14ac:dyDescent="0.3">
      <c r="D274" s="2">
        <v>274</v>
      </c>
      <c r="L274" s="24">
        <f>IF('3. Detention'!$Z$7&gt;0.2*($P274),('3. Detention'!$Z$7-0.2*($P274))^2/('3. Detention'!$Z$7+0.8*($P274)),0)</f>
        <v>0.50424730662697848</v>
      </c>
      <c r="M274" s="24">
        <f>IF('3. Detention'!$AE$7&gt;0.2*($P274),('3. Detention'!$AE$7-0.2*($P274))^2/('3. Detention'!$AE$7+0.8*($P274)),0)</f>
        <v>1.6789738119285593</v>
      </c>
      <c r="N274" s="24">
        <f>IF('3. Detention'!$AJ$7&gt;0.2*($P274),('3. Detention'!$AJ$7-0.2*($P274))^2/('3. Detention'!$AJ$7+0.8*($P274)),0)</f>
        <v>3.9727104233185453</v>
      </c>
      <c r="O274" s="61">
        <f t="shared" si="6"/>
        <v>63.300000000000331</v>
      </c>
      <c r="P274" s="24">
        <f t="shared" si="7"/>
        <v>5.7977883096365677</v>
      </c>
    </row>
    <row r="275" spans="4:16" x14ac:dyDescent="0.3">
      <c r="D275" s="2">
        <v>275</v>
      </c>
      <c r="L275" s="24">
        <f>IF('3. Detention'!$Z$7&gt;0.2*($P275),('3. Detention'!$Z$7-0.2*($P275))^2/('3. Detention'!$Z$7+0.8*($P275)),0)</f>
        <v>0.50809038558179087</v>
      </c>
      <c r="M275" s="24">
        <f>IF('3. Detention'!$AE$7&gt;0.2*($P275),('3. Detention'!$AE$7-0.2*($P275))^2/('3. Detention'!$AE$7+0.8*($P275)),0)</f>
        <v>1.6864943039652618</v>
      </c>
      <c r="N275" s="24">
        <f>IF('3. Detention'!$AJ$7&gt;0.2*($P275),('3. Detention'!$AJ$7-0.2*($P275))^2/('3. Detention'!$AJ$7+0.8*($P275)),0)</f>
        <v>3.9843466136191004</v>
      </c>
      <c r="O275" s="61">
        <f t="shared" si="6"/>
        <v>63.400000000000333</v>
      </c>
      <c r="P275" s="24">
        <f t="shared" si="7"/>
        <v>5.7728706624604857</v>
      </c>
    </row>
    <row r="276" spans="4:16" x14ac:dyDescent="0.3">
      <c r="D276" s="2">
        <v>276</v>
      </c>
      <c r="L276" s="24">
        <f>IF('3. Detention'!$Z$7&gt;0.2*($P276),('3. Detention'!$Z$7-0.2*($P276))^2/('3. Detention'!$Z$7+0.8*($P276)),0)</f>
        <v>0.51194745485770177</v>
      </c>
      <c r="M276" s="24">
        <f>IF('3. Detention'!$AE$7&gt;0.2*($P276),('3. Detention'!$AE$7-0.2*($P276))^2/('3. Detention'!$AE$7+0.8*($P276)),0)</f>
        <v>1.6940265016984888</v>
      </c>
      <c r="N276" s="24">
        <f>IF('3. Detention'!$AJ$7&gt;0.2*($P276),('3. Detention'!$AJ$7-0.2*($P276))^2/('3. Detention'!$AJ$7+0.8*($P276)),0)</f>
        <v>3.9959856617565341</v>
      </c>
      <c r="O276" s="61">
        <f t="shared" si="6"/>
        <v>63.500000000000334</v>
      </c>
      <c r="P276" s="24">
        <f t="shared" si="7"/>
        <v>5.7480314960629091</v>
      </c>
    </row>
    <row r="277" spans="4:16" x14ac:dyDescent="0.3">
      <c r="D277" s="2">
        <v>277</v>
      </c>
      <c r="L277" s="24">
        <f>IF('3. Detention'!$Z$7&gt;0.2*($P277),('3. Detention'!$Z$7-0.2*($P277))^2/('3. Detention'!$Z$7+0.8*($P277)),0)</f>
        <v>0.51581852584226096</v>
      </c>
      <c r="M277" s="24">
        <f>IF('3. Detention'!$AE$7&gt;0.2*($P277),('3. Detention'!$AE$7-0.2*($P277))^2/('3. Detention'!$AE$7+0.8*($P277)),0)</f>
        <v>1.7015703969845517</v>
      </c>
      <c r="N277" s="24">
        <f>IF('3. Detention'!$AJ$7&gt;0.2*($P277),('3. Detention'!$AJ$7-0.2*($P277))^2/('3. Detention'!$AJ$7+0.8*($P277)),0)</f>
        <v>4.0076275493535913</v>
      </c>
      <c r="O277" s="61">
        <f t="shared" si="6"/>
        <v>63.600000000000335</v>
      </c>
      <c r="P277" s="24">
        <f t="shared" si="7"/>
        <v>5.7232704402514898</v>
      </c>
    </row>
    <row r="278" spans="4:16" x14ac:dyDescent="0.3">
      <c r="D278" s="2">
        <v>278</v>
      </c>
      <c r="L278" s="24">
        <f>IF('3. Detention'!$Z$7&gt;0.2*($P278),('3. Detention'!$Z$7-0.2*($P278))^2/('3. Detention'!$Z$7+0.8*($P278)),0)</f>
        <v>0.51970361015776079</v>
      </c>
      <c r="M278" s="24">
        <f>IF('3. Detention'!$AE$7&gt;0.2*($P278),('3. Detention'!$AE$7-0.2*($P278))^2/('3. Detention'!$AE$7+0.8*($P278)),0)</f>
        <v>1.709125981814412</v>
      </c>
      <c r="N278" s="24">
        <f>IF('3. Detention'!$AJ$7&gt;0.2*($P278),('3. Detention'!$AJ$7-0.2*($P278))^2/('3. Detention'!$AJ$7+0.8*($P278)),0)</f>
        <v>4.0192722581492237</v>
      </c>
      <c r="O278" s="61">
        <f t="shared" si="6"/>
        <v>63.700000000000337</v>
      </c>
      <c r="P278" s="24">
        <f t="shared" si="7"/>
        <v>5.698587127158472</v>
      </c>
    </row>
    <row r="279" spans="4:16" x14ac:dyDescent="0.3">
      <c r="D279" s="2">
        <v>279</v>
      </c>
      <c r="L279" s="24">
        <f>IF('3. Detention'!$Z$7&gt;0.2*($P279),('3. Detention'!$Z$7-0.2*($P279))^2/('3. Detention'!$Z$7+0.8*($P279)),0)</f>
        <v>0.52360271966091065</v>
      </c>
      <c r="M279" s="24">
        <f>IF('3. Detention'!$AE$7&gt;0.2*($P279),('3. Detention'!$AE$7-0.2*($P279))^2/('3. Detention'!$AE$7+0.8*($P279)),0)</f>
        <v>1.7166932483128108</v>
      </c>
      <c r="N279" s="24">
        <f>IF('3. Detention'!$AJ$7&gt;0.2*($P279),('3. Detention'!$AJ$7-0.2*($P279))^2/('3. Detention'!$AJ$7+0.8*($P279)),0)</f>
        <v>4.0309197699976815</v>
      </c>
      <c r="O279" s="61">
        <f t="shared" si="6"/>
        <v>63.800000000000338</v>
      </c>
      <c r="P279" s="24">
        <f t="shared" si="7"/>
        <v>5.673981191222488</v>
      </c>
    </row>
    <row r="280" spans="4:16" x14ac:dyDescent="0.3">
      <c r="D280" s="2">
        <v>280</v>
      </c>
      <c r="L280" s="24">
        <f>IF('3. Detention'!$Z$7&gt;0.2*($P280),('3. Detention'!$Z$7-0.2*($P280))^2/('3. Detention'!$Z$7+0.8*($P280)),0)</f>
        <v>0.52751586644252824</v>
      </c>
      <c r="M280" s="24">
        <f>IF('3. Detention'!$AE$7&gt;0.2*($P280),('3. Detention'!$AE$7-0.2*($P280))^2/('3. Detention'!$AE$7+0.8*($P280)),0)</f>
        <v>1.7242721887374088</v>
      </c>
      <c r="N280" s="24">
        <f>IF('3. Detention'!$AJ$7&gt;0.2*($P280),('3. Detention'!$AJ$7-0.2*($P280))^2/('3. Detention'!$AJ$7+0.8*($P280)),0)</f>
        <v>4.0425700668676123</v>
      </c>
      <c r="O280" s="61">
        <f t="shared" si="6"/>
        <v>63.90000000000034</v>
      </c>
      <c r="P280" s="24">
        <f t="shared" si="7"/>
        <v>5.6494522691704958</v>
      </c>
    </row>
    <row r="281" spans="4:16" x14ac:dyDescent="0.3">
      <c r="D281" s="2">
        <v>281</v>
      </c>
      <c r="L281" s="24">
        <f>IF('3. Detention'!$Z$7&gt;0.2*($P281),('3. Detention'!$Z$7-0.2*($P281))^2/('3. Detention'!$Z$7+0.8*($P281)),0)</f>
        <v>0.53144306282723852</v>
      </c>
      <c r="M281" s="24">
        <f>IF('3. Detention'!$AE$7&gt;0.2*($P281),('3. Detention'!$AE$7-0.2*($P281))^2/('3. Detention'!$AE$7+0.8*($P281)),0)</f>
        <v>1.73186279547793</v>
      </c>
      <c r="N281" s="24">
        <f>IF('3. Detention'!$AJ$7&gt;0.2*($P281),('3. Detention'!$AJ$7-0.2*($P281))^2/('3. Detention'!$AJ$7+0.8*($P281)),0)</f>
        <v>4.0542231308411614</v>
      </c>
      <c r="O281" s="61">
        <f t="shared" si="6"/>
        <v>64.000000000000341</v>
      </c>
      <c r="P281" s="24">
        <f t="shared" si="7"/>
        <v>5.6249999999999165</v>
      </c>
    </row>
    <row r="282" spans="4:16" x14ac:dyDescent="0.3">
      <c r="D282" s="2">
        <v>282</v>
      </c>
      <c r="L282" s="24">
        <f>IF('3. Detention'!$Z$7&gt;0.2*($P282),('3. Detention'!$Z$7-0.2*($P282))^2/('3. Detention'!$Z$7+0.8*($P282)),0)</f>
        <v>0.53538432137318759</v>
      </c>
      <c r="M282" s="24">
        <f>IF('3. Detention'!$AE$7&gt;0.2*($P282),('3. Detention'!$AE$7-0.2*($P282))^2/('3. Detention'!$AE$7+0.8*($P282)),0)</f>
        <v>1.7394650610553186</v>
      </c>
      <c r="N282" s="24">
        <f>IF('3. Detention'!$AJ$7&gt;0.2*($P282),('3. Detention'!$AJ$7-0.2*($P282))^2/('3. Detention'!$AJ$7+0.8*($P282)),0)</f>
        <v>4.0658789441130878</v>
      </c>
      <c r="O282" s="61">
        <f t="shared" si="6"/>
        <v>64.100000000000335</v>
      </c>
      <c r="P282" s="24">
        <f t="shared" si="7"/>
        <v>5.6006240249609167</v>
      </c>
    </row>
    <row r="283" spans="4:16" x14ac:dyDescent="0.3">
      <c r="D283" s="2">
        <v>283</v>
      </c>
      <c r="L283" s="24">
        <f>IF('3. Detention'!$Z$7&gt;0.2*($P283),('3. Detention'!$Z$7-0.2*($P283))^2/('3. Detention'!$Z$7+0.8*($P283)),0)</f>
        <v>0.53933965487176749</v>
      </c>
      <c r="M283" s="24">
        <f>IF('3. Detention'!$AE$7&gt;0.2*($P283),('3. Detention'!$AE$7-0.2*($P283))^2/('3. Detention'!$AE$7+0.8*($P283)),0)</f>
        <v>1.7470789781209093</v>
      </c>
      <c r="N283" s="24">
        <f>IF('3. Detention'!$AJ$7&gt;0.2*($P283),('3. Detention'!$AJ$7-0.2*($P283))^2/('3. Detention'!$AJ$7+0.8*($P283)),0)</f>
        <v>4.0775374889898979</v>
      </c>
      <c r="O283" s="61">
        <f t="shared" ref="O283:O346" si="8">O282+0.1</f>
        <v>64.20000000000033</v>
      </c>
      <c r="P283" s="24">
        <f t="shared" si="7"/>
        <v>5.5763239875388599</v>
      </c>
    </row>
    <row r="284" spans="4:16" x14ac:dyDescent="0.3">
      <c r="D284" s="2">
        <v>284</v>
      </c>
      <c r="L284" s="24">
        <f>IF('3. Detention'!$Z$7&gt;0.2*($P284),('3. Detention'!$Z$7-0.2*($P284))^2/('3. Detention'!$Z$7+0.8*($P284)),0)</f>
        <v>0.54330907634735204</v>
      </c>
      <c r="M284" s="24">
        <f>IF('3. Detention'!$AE$7&gt;0.2*($P284),('3. Detention'!$AE$7-0.2*($P284))^2/('3. Detention'!$AE$7+0.8*($P284)),0)</f>
        <v>1.754704539455588</v>
      </c>
      <c r="N284" s="24">
        <f>IF('3. Detention'!$AJ$7&gt;0.2*($P284),('3. Detention'!$AJ$7-0.2*($P284))^2/('3. Detention'!$AJ$7+0.8*($P284)),0)</f>
        <v>4.089198747888954</v>
      </c>
      <c r="O284" s="61">
        <f t="shared" si="8"/>
        <v>64.300000000000324</v>
      </c>
      <c r="P284" s="24">
        <f t="shared" si="7"/>
        <v>5.5520995334369356</v>
      </c>
    </row>
    <row r="285" spans="4:16" x14ac:dyDescent="0.3">
      <c r="D285" s="2">
        <v>285</v>
      </c>
      <c r="L285" s="24">
        <f>IF('3. Detention'!$Z$7&gt;0.2*($P285),('3. Detention'!$Z$7-0.2*($P285))^2/('3. Detention'!$Z$7+0.8*($P285)),0)</f>
        <v>0.5472925990570463</v>
      </c>
      <c r="M285" s="24">
        <f>IF('3. Detention'!$AE$7&gt;0.2*($P285),('3. Detention'!$AE$7-0.2*($P285))^2/('3. Detention'!$AE$7+0.8*($P285)),0)</f>
        <v>1.7623417379689825</v>
      </c>
      <c r="N285" s="24">
        <f>IF('3. Detention'!$AJ$7&gt;0.2*($P285),('3. Detention'!$AJ$7-0.2*($P285))^2/('3. Detention'!$AJ$7+0.8*($P285)),0)</f>
        <v>4.1008627033376364</v>
      </c>
      <c r="O285" s="61">
        <f t="shared" si="8"/>
        <v>64.400000000000318</v>
      </c>
      <c r="P285" s="24">
        <f t="shared" si="7"/>
        <v>5.5279503105589303</v>
      </c>
    </row>
    <row r="286" spans="4:16" x14ac:dyDescent="0.3">
      <c r="D286" s="2">
        <v>286</v>
      </c>
      <c r="L286" s="24">
        <f>IF('3. Detention'!$Z$7&gt;0.2*($P286),('3. Detention'!$Z$7-0.2*($P286))^2/('3. Detention'!$Z$7+0.8*($P286)),0)</f>
        <v>0.55129023649044495</v>
      </c>
      <c r="M286" s="24">
        <f>IF('3. Detention'!$AE$7&gt;0.2*($P286),('3. Detention'!$AE$7-0.2*($P286))^2/('3. Detention'!$AE$7+0.8*($P286)),0)</f>
        <v>1.7699905666986484</v>
      </c>
      <c r="N286" s="24">
        <f>IF('3. Detention'!$AJ$7&gt;0.2*($P286),('3. Detention'!$AJ$7-0.2*($P286))^2/('3. Detention'!$AJ$7+0.8*($P286)),0)</f>
        <v>4.1125293379724788</v>
      </c>
      <c r="O286" s="61">
        <f t="shared" si="8"/>
        <v>64.500000000000313</v>
      </c>
      <c r="P286" s="24">
        <f t="shared" si="7"/>
        <v>5.5038759689921726</v>
      </c>
    </row>
    <row r="287" spans="4:16" x14ac:dyDescent="0.3">
      <c r="D287" s="2">
        <v>287</v>
      </c>
      <c r="L287" s="24">
        <f>IF('3. Detention'!$Z$7&gt;0.2*($P287),('3. Detention'!$Z$7-0.2*($P287))^2/('3. Detention'!$Z$7+0.8*($P287)),0)</f>
        <v>0.55530200236940364</v>
      </c>
      <c r="M287" s="24">
        <f>IF('3. Detention'!$AE$7&gt;0.2*($P287),('3. Detention'!$AE$7-0.2*($P287))^2/('3. Detention'!$AE$7+0.8*($P287)),0)</f>
        <v>1.7776510188092634</v>
      </c>
      <c r="N287" s="24">
        <f>IF('3. Detention'!$AJ$7&gt;0.2*($P287),('3. Detention'!$AJ$7-0.2*($P287))^2/('3. Detention'!$AJ$7+0.8*($P287)),0)</f>
        <v>4.124198634538323</v>
      </c>
      <c r="O287" s="61">
        <f t="shared" si="8"/>
        <v>64.600000000000307</v>
      </c>
      <c r="P287" s="24">
        <f t="shared" si="7"/>
        <v>5.4798761609906386</v>
      </c>
    </row>
    <row r="288" spans="4:16" x14ac:dyDescent="0.3">
      <c r="D288" s="2">
        <v>288</v>
      </c>
      <c r="L288" s="24">
        <f>IF('3. Detention'!$Z$7&gt;0.2*($P288),('3. Detention'!$Z$7-0.2*($P288))^2/('3. Detention'!$Z$7+0.8*($P288)),0)</f>
        <v>0.55932791064782528</v>
      </c>
      <c r="M288" s="24">
        <f>IF('3. Detention'!$AE$7&gt;0.2*($P288),('3. Detention'!$AE$7-0.2*($P288))^2/('3. Detention'!$AE$7+0.8*($P288)),0)</f>
        <v>1.7853230875918316</v>
      </c>
      <c r="N288" s="24">
        <f>IF('3. Detention'!$AJ$7&gt;0.2*($P288),('3. Detention'!$AJ$7-0.2*($P288))^2/('3. Detention'!$AJ$7+0.8*($P288)),0)</f>
        <v>4.1358705758874823</v>
      </c>
      <c r="O288" s="61">
        <f t="shared" si="8"/>
        <v>64.700000000000301</v>
      </c>
      <c r="P288" s="24">
        <f t="shared" si="7"/>
        <v>5.455950540958197</v>
      </c>
    </row>
    <row r="289" spans="4:16" x14ac:dyDescent="0.3">
      <c r="D289" s="2">
        <v>289</v>
      </c>
      <c r="L289" s="24">
        <f>IF('3. Detention'!$Z$7&gt;0.2*($P289),('3. Detention'!$Z$7-0.2*($P289))^2/('3. Detention'!$Z$7+0.8*($P289)),0)</f>
        <v>0.56336797551144946</v>
      </c>
      <c r="M289" s="24">
        <f>IF('3. Detention'!$AE$7&gt;0.2*($P289),('3. Detention'!$AE$7-0.2*($P289))^2/('3. Detention'!$AE$7+0.8*($P289)),0)</f>
        <v>1.7930067664629044</v>
      </c>
      <c r="N289" s="24">
        <f>IF('3. Detention'!$AJ$7&gt;0.2*($P289),('3. Detention'!$AJ$7-0.2*($P289))^2/('3. Detention'!$AJ$7+0.8*($P289)),0)</f>
        <v>4.1475451449789205</v>
      </c>
      <c r="O289" s="61">
        <f t="shared" si="8"/>
        <v>64.800000000000296</v>
      </c>
      <c r="P289" s="24">
        <f t="shared" si="7"/>
        <v>5.4320987654320287</v>
      </c>
    </row>
    <row r="290" spans="4:16" x14ac:dyDescent="0.3">
      <c r="D290" s="2">
        <v>290</v>
      </c>
      <c r="L290" s="24">
        <f>IF('3. Detention'!$Z$7&gt;0.2*($P290),('3. Detention'!$Z$7-0.2*($P290))^2/('3. Detention'!$Z$7+0.8*($P290)),0)</f>
        <v>0.5674222113776628</v>
      </c>
      <c r="M290" s="24">
        <f>IF('3. Detention'!$AE$7&gt;0.2*($P290),('3. Detention'!$AE$7-0.2*($P290))^2/('3. Detention'!$AE$7+0.8*($P290)),0)</f>
        <v>1.8007020489637893</v>
      </c>
      <c r="N290" s="24">
        <f>IF('3. Detention'!$AJ$7&gt;0.2*($P290),('3. Detention'!$AJ$7-0.2*($P290))^2/('3. Detention'!$AJ$7+0.8*($P290)),0)</f>
        <v>4.1592223248774154</v>
      </c>
      <c r="O290" s="61">
        <f t="shared" si="8"/>
        <v>64.90000000000029</v>
      </c>
      <c r="P290" s="24">
        <f t="shared" si="7"/>
        <v>5.4083204930661868</v>
      </c>
    </row>
    <row r="291" spans="4:16" x14ac:dyDescent="0.3">
      <c r="D291" s="2">
        <v>291</v>
      </c>
      <c r="L291" s="24">
        <f>IF('3. Detention'!$Z$7&gt;0.2*($P291),('3. Detention'!$Z$7-0.2*($P291))^2/('3. Detention'!$Z$7+0.8*($P291)),0)</f>
        <v>0.57149063289531288</v>
      </c>
      <c r="M291" s="24">
        <f>IF('3. Detention'!$AE$7&gt;0.2*($P291),('3. Detention'!$AE$7-0.2*($P291))^2/('3. Detention'!$AE$7+0.8*($P291)),0)</f>
        <v>1.808408928759786</v>
      </c>
      <c r="N291" s="24">
        <f>IF('3. Detention'!$AJ$7&gt;0.2*($P291),('3. Detention'!$AJ$7-0.2*($P291))^2/('3. Detention'!$AJ$7+0.8*($P291)),0)</f>
        <v>4.1709020987527587</v>
      </c>
      <c r="O291" s="61">
        <f t="shared" si="8"/>
        <v>65.000000000000284</v>
      </c>
      <c r="P291" s="24">
        <f t="shared" si="7"/>
        <v>5.3846153846153175</v>
      </c>
    </row>
    <row r="292" spans="4:16" x14ac:dyDescent="0.3">
      <c r="D292" s="2">
        <v>292</v>
      </c>
      <c r="L292" s="24">
        <f>IF('3. Detention'!$Z$7&gt;0.2*($P292),('3. Detention'!$Z$7-0.2*($P292))^2/('3. Detention'!$Z$7+0.8*($P292)),0)</f>
        <v>0.5755732549445407</v>
      </c>
      <c r="M292" s="24">
        <f>IF('3. Detention'!$AE$7&gt;0.2*($P292),('3. Detention'!$AE$7-0.2*($P292))^2/('3. Detention'!$AE$7+0.8*($P292)),0)</f>
        <v>1.8161273996394176</v>
      </c>
      <c r="N292" s="24">
        <f>IF('3. Detention'!$AJ$7&gt;0.2*($P292),('3. Detention'!$AJ$7-0.2*($P292))^2/('3. Detention'!$AJ$7+0.8*($P292)),0)</f>
        <v>4.1825844498789371</v>
      </c>
      <c r="O292" s="61">
        <f t="shared" si="8"/>
        <v>65.100000000000279</v>
      </c>
      <c r="P292" s="24">
        <f t="shared" si="7"/>
        <v>5.3609831029185209</v>
      </c>
    </row>
    <row r="293" spans="4:16" x14ac:dyDescent="0.3">
      <c r="D293" s="2">
        <v>293</v>
      </c>
      <c r="L293" s="24">
        <f>IF('3. Detention'!$Z$7&gt;0.2*($P293),('3. Detention'!$Z$7-0.2*($P293))^2/('3. Detention'!$Z$7+0.8*($P293)),0)</f>
        <v>0.57967009263661562</v>
      </c>
      <c r="M293" s="24">
        <f>IF('3. Detention'!$AE$7&gt;0.2*($P293),('3. Detention'!$AE$7-0.2*($P293))^2/('3. Detention'!$AE$7+0.8*($P293)),0)</f>
        <v>1.8238574555136782</v>
      </c>
      <c r="N293" s="24">
        <f>IF('3. Detention'!$AJ$7&gt;0.2*($P293),('3. Detention'!$AJ$7-0.2*($P293))^2/('3. Detention'!$AJ$7+0.8*($P293)),0)</f>
        <v>4.1942693616333431</v>
      </c>
      <c r="O293" s="61">
        <f t="shared" si="8"/>
        <v>65.200000000000273</v>
      </c>
      <c r="P293" s="24">
        <f t="shared" si="7"/>
        <v>5.3374233128833719</v>
      </c>
    </row>
    <row r="294" spans="4:16" x14ac:dyDescent="0.3">
      <c r="D294" s="2">
        <v>294</v>
      </c>
      <c r="L294" s="24">
        <f>IF('3. Detention'!$Z$7&gt;0.2*($P294),('3. Detention'!$Z$7-0.2*($P294))^2/('3. Detention'!$Z$7+0.8*($P294)),0)</f>
        <v>0.58378116131379132</v>
      </c>
      <c r="M294" s="24">
        <f>IF('3. Detention'!$AE$7&gt;0.2*($P294),('3. Detention'!$AE$7-0.2*($P294))^2/('3. Detention'!$AE$7+0.8*($P294)),0)</f>
        <v>1.8315990904152808</v>
      </c>
      <c r="N294" s="24">
        <f>IF('3. Detention'!$AJ$7&gt;0.2*($P294),('3. Detention'!$AJ$7-0.2*($P294))^2/('3. Detention'!$AJ$7+0.8*($P294)),0)</f>
        <v>4.2059568174959807</v>
      </c>
      <c r="O294" s="61">
        <f t="shared" si="8"/>
        <v>65.300000000000267</v>
      </c>
      <c r="P294" s="24">
        <f t="shared" si="7"/>
        <v>5.3139356814700758</v>
      </c>
    </row>
    <row r="295" spans="4:16" x14ac:dyDescent="0.3">
      <c r="D295" s="2">
        <v>295</v>
      </c>
      <c r="L295" s="24">
        <f>IF('3. Detention'!$Z$7&gt;0.2*($P295),('3. Detention'!$Z$7-0.2*($P295))^2/('3. Detention'!$Z$7+0.8*($P295)),0)</f>
        <v>0.58790647654916406</v>
      </c>
      <c r="M295" s="24">
        <f>IF('3. Detention'!$AE$7&gt;0.2*($P295),('3. Detention'!$AE$7-0.2*($P295))^2/('3. Detention'!$AE$7+0.8*($P295)),0)</f>
        <v>1.8393522984979145</v>
      </c>
      <c r="N295" s="24">
        <f>IF('3. Detention'!$AJ$7&gt;0.2*($P295),('3. Detention'!$AJ$7-0.2*($P295))^2/('3. Detention'!$AJ$7+0.8*($P295)),0)</f>
        <v>4.2176468010486747</v>
      </c>
      <c r="O295" s="61">
        <f t="shared" si="8"/>
        <v>65.400000000000261</v>
      </c>
      <c r="P295" s="24">
        <f t="shared" si="7"/>
        <v>5.2905198776757807</v>
      </c>
    </row>
    <row r="296" spans="4:16" x14ac:dyDescent="0.3">
      <c r="D296" s="2">
        <v>296</v>
      </c>
      <c r="L296" s="24">
        <f>IF('3. Detention'!$Z$7&gt;0.2*($P296),('3. Detention'!$Z$7-0.2*($P296))^2/('3. Detention'!$Z$7+0.8*($P296)),0)</f>
        <v>0.59204605414654976</v>
      </c>
      <c r="M296" s="24">
        <f>IF('3. Detention'!$AE$7&gt;0.2*($P296),('3. Detention'!$AE$7-0.2*($P296))^2/('3. Detention'!$AE$7+0.8*($P296)),0)</f>
        <v>1.8471170740355105</v>
      </c>
      <c r="N296" s="24">
        <f>IF('3. Detention'!$AJ$7&gt;0.2*($P296),('3. Detention'!$AJ$7-0.2*($P296))^2/('3. Detention'!$AJ$7+0.8*($P296)),0)</f>
        <v>4.2293392959742997</v>
      </c>
      <c r="O296" s="61">
        <f t="shared" si="8"/>
        <v>65.500000000000256</v>
      </c>
      <c r="P296" s="24">
        <f t="shared" si="7"/>
        <v>5.2671755725190241</v>
      </c>
    </row>
    <row r="297" spans="4:16" x14ac:dyDescent="0.3">
      <c r="D297" s="2">
        <v>297</v>
      </c>
      <c r="L297" s="24">
        <f>IF('3. Detention'!$Z$7&gt;0.2*($P297),('3. Detention'!$Z$7-0.2*($P297))^2/('3. Detention'!$Z$7+0.8*($P297)),0)</f>
        <v>0.59619991014036366</v>
      </c>
      <c r="M297" s="24">
        <f>IF('3. Detention'!$AE$7&gt;0.2*($P297),('3. Detention'!$AE$7-0.2*($P297))^2/('3. Detention'!$AE$7+0.8*($P297)),0)</f>
        <v>1.8548934114215183</v>
      </c>
      <c r="N297" s="24">
        <f>IF('3. Detention'!$AJ$7&gt;0.2*($P297),('3. Detention'!$AJ$7-0.2*($P297))^2/('3. Detention'!$AJ$7+0.8*($P297)),0)</f>
        <v>4.2410342860560073</v>
      </c>
      <c r="O297" s="61">
        <f t="shared" si="8"/>
        <v>65.60000000000025</v>
      </c>
      <c r="P297" s="24">
        <f t="shared" ref="P297:P360" si="9">IF(O297&gt;0,1000/O297-10,1000)</f>
        <v>5.2439024390243318</v>
      </c>
    </row>
    <row r="298" spans="4:16" x14ac:dyDescent="0.3">
      <c r="D298" s="2">
        <v>298</v>
      </c>
      <c r="L298" s="24">
        <f>IF('3. Detention'!$Z$7&gt;0.2*($P298),('3. Detention'!$Z$7-0.2*($P298))^2/('3. Detention'!$Z$7+0.8*($P298)),0)</f>
        <v>0.60036806079552019</v>
      </c>
      <c r="M298" s="24">
        <f>IF('3. Detention'!$AE$7&gt;0.2*($P298),('3. Detention'!$AE$7-0.2*($P298))^2/('3. Detention'!$AE$7+0.8*($P298)),0)</f>
        <v>1.8626813051681803</v>
      </c>
      <c r="N298" s="24">
        <f>IF('3. Detention'!$AJ$7&gt;0.2*($P298),('3. Detention'!$AJ$7-0.2*($P298))^2/('3. Detention'!$AJ$7+0.8*($P298)),0)</f>
        <v>4.2527317551764652</v>
      </c>
      <c r="O298" s="61">
        <f t="shared" si="8"/>
        <v>65.700000000000244</v>
      </c>
      <c r="P298" s="24">
        <f t="shared" si="9"/>
        <v>5.2207001522069447</v>
      </c>
    </row>
    <row r="299" spans="4:16" x14ac:dyDescent="0.3">
      <c r="D299" s="2">
        <v>299</v>
      </c>
      <c r="L299" s="24">
        <f>IF('3. Detention'!$Z$7&gt;0.2*($P299),('3. Detention'!$Z$7-0.2*($P299))^2/('3. Detention'!$Z$7+0.8*($P299)),0)</f>
        <v>0.60455052260733766</v>
      </c>
      <c r="M299" s="24">
        <f>IF('3. Detention'!$AE$7&gt;0.2*($P299),('3. Detention'!$AE$7-0.2*($P299))^2/('3. Detention'!$AE$7+0.8*($P299)),0)</f>
        <v>1.8704807499058203</v>
      </c>
      <c r="N299" s="24">
        <f>IF('3. Detention'!$AJ$7&gt;0.2*($P299),('3. Detention'!$AJ$7-0.2*($P299))^2/('3. Detention'!$AJ$7+0.8*($P299)),0)</f>
        <v>4.2644316873170949</v>
      </c>
      <c r="O299" s="61">
        <f t="shared" si="8"/>
        <v>65.800000000000239</v>
      </c>
      <c r="P299" s="24">
        <f t="shared" si="9"/>
        <v>5.1975683890576949</v>
      </c>
    </row>
    <row r="300" spans="4:16" x14ac:dyDescent="0.3">
      <c r="D300" s="2">
        <v>300</v>
      </c>
      <c r="L300" s="24">
        <f>IF('3. Detention'!$Z$7&gt;0.2*($P300),('3. Detention'!$Z$7-0.2*($P300))^2/('3. Detention'!$Z$7+0.8*($P300)),0)</f>
        <v>0.60874731230145485</v>
      </c>
      <c r="M300" s="24">
        <f>IF('3. Detention'!$AE$7&gt;0.2*($P300),('3. Detention'!$AE$7-0.2*($P300))^2/('3. Detention'!$AE$7+0.8*($P300)),0)</f>
        <v>1.8782917403821384</v>
      </c>
      <c r="N300" s="24">
        <f>IF('3. Detention'!$AJ$7&gt;0.2*($P300),('3. Detention'!$AJ$7-0.2*($P300))^2/('3. Detention'!$AJ$7+0.8*($P300)),0)</f>
        <v>4.2761340665573266</v>
      </c>
      <c r="O300" s="61">
        <f t="shared" si="8"/>
        <v>65.900000000000233</v>
      </c>
      <c r="P300" s="24">
        <f t="shared" si="9"/>
        <v>5.1745068285280187</v>
      </c>
    </row>
    <row r="301" spans="4:16" x14ac:dyDescent="0.3">
      <c r="D301" s="2">
        <v>301</v>
      </c>
      <c r="L301" s="24">
        <f>IF('3. Detention'!$Z$7&gt;0.2*($P301),('3. Detention'!$Z$7-0.2*($P301))^2/('3. Detention'!$Z$7+0.8*($P301)),0)</f>
        <v>0.612958446833759</v>
      </c>
      <c r="M301" s="24">
        <f>IF('3. Detention'!$AE$7&gt;0.2*($P301),('3. Detention'!$AE$7-0.2*($P301))^2/('3. Detention'!$AE$7+0.8*($P301)),0)</f>
        <v>1.8861142714615147</v>
      </c>
      <c r="N301" s="24">
        <f>IF('3. Detention'!$AJ$7&gt;0.2*($P301),('3. Detention'!$AJ$7-0.2*($P301))^2/('3. Detention'!$AJ$7+0.8*($P301)),0)</f>
        <v>4.2878388770738631</v>
      </c>
      <c r="O301" s="61">
        <f t="shared" si="8"/>
        <v>66.000000000000227</v>
      </c>
      <c r="P301" s="24">
        <f t="shared" si="9"/>
        <v>5.151515151515099</v>
      </c>
    </row>
    <row r="302" spans="4:16" x14ac:dyDescent="0.3">
      <c r="D302" s="2">
        <v>302</v>
      </c>
      <c r="L302" s="24">
        <f>IF('3. Detention'!$Z$7&gt;0.2*($P302),('3. Detention'!$Z$7-0.2*($P302))^2/('3. Detention'!$Z$7+0.8*($P302)),0)</f>
        <v>0.61718394339032678</v>
      </c>
      <c r="M302" s="24">
        <f>IF('3. Detention'!$AE$7&gt;0.2*($P302),('3. Detention'!$AE$7-0.2*($P302))^2/('3. Detention'!$AE$7+0.8*($P302)),0)</f>
        <v>1.8939483381243067</v>
      </c>
      <c r="N302" s="24">
        <f>IF('3. Detention'!$AJ$7&gt;0.2*($P302),('3. Detention'!$AJ$7-0.2*($P302))^2/('3. Detention'!$AJ$7+0.8*($P302)),0)</f>
        <v>4.2995461031399289</v>
      </c>
      <c r="O302" s="61">
        <f t="shared" si="8"/>
        <v>66.100000000000222</v>
      </c>
      <c r="P302" s="24">
        <f t="shared" si="9"/>
        <v>5.1285930408471501</v>
      </c>
    </row>
    <row r="303" spans="4:16" x14ac:dyDescent="0.3">
      <c r="D303" s="2">
        <v>303</v>
      </c>
      <c r="L303" s="24">
        <f>IF('3. Detention'!$Z$7&gt;0.2*($P303),('3. Detention'!$Z$7-0.2*($P303))^2/('3. Detention'!$Z$7+0.8*($P303)),0)</f>
        <v>0.6214238193873719</v>
      </c>
      <c r="M303" s="24">
        <f>IF('3. Detention'!$AE$7&gt;0.2*($P303),('3. Detention'!$AE$7-0.2*($P303))^2/('3. Detention'!$AE$7+0.8*($P303)),0)</f>
        <v>1.9017939354661755</v>
      </c>
      <c r="N303" s="24">
        <f>IF('3. Detention'!$AJ$7&gt;0.2*($P303),('3. Detention'!$AJ$7-0.2*($P303))^2/('3. Detention'!$AJ$7+0.8*($P303)),0)</f>
        <v>4.311255729124551</v>
      </c>
      <c r="O303" s="61">
        <f t="shared" si="8"/>
        <v>66.200000000000216</v>
      </c>
      <c r="P303" s="24">
        <f t="shared" si="9"/>
        <v>5.1057401812688337</v>
      </c>
    </row>
    <row r="304" spans="4:16" x14ac:dyDescent="0.3">
      <c r="D304" s="2">
        <v>304</v>
      </c>
      <c r="L304" s="24">
        <f>IF('3. Detention'!$Z$7&gt;0.2*($P304),('3. Detention'!$Z$7-0.2*($P304))^2/('3. Detention'!$Z$7+0.8*($P304)),0)</f>
        <v>0.62567809247120698</v>
      </c>
      <c r="M304" s="24">
        <f>IF('3. Detention'!$AE$7&gt;0.2*($P304),('3. Detention'!$AE$7-0.2*($P304))^2/('3. Detention'!$AE$7+0.8*($P304)),0)</f>
        <v>1.9096510586974011</v>
      </c>
      <c r="N304" s="24">
        <f>IF('3. Detention'!$AJ$7&gt;0.2*($P304),('3. Detention'!$AJ$7-0.2*($P304))^2/('3. Detention'!$AJ$7+0.8*($P304)),0)</f>
        <v>4.3229677394918369</v>
      </c>
      <c r="O304" s="61">
        <f t="shared" si="8"/>
        <v>66.30000000000021</v>
      </c>
      <c r="P304" s="24">
        <f t="shared" si="9"/>
        <v>5.0829562594267994</v>
      </c>
    </row>
    <row r="305" spans="4:16" x14ac:dyDescent="0.3">
      <c r="D305" s="2">
        <v>305</v>
      </c>
      <c r="L305" s="24">
        <f>IF('3. Detention'!$Z$7&gt;0.2*($P305),('3. Detention'!$Z$7-0.2*($P305))^2/('3. Detention'!$Z$7+0.8*($P305)),0)</f>
        <v>0.62994678051821318</v>
      </c>
      <c r="M305" s="24">
        <f>IF('3. Detention'!$AE$7&gt;0.2*($P305),('3. Detention'!$AE$7-0.2*($P305))^2/('3. Detention'!$AE$7+0.8*($P305)),0)</f>
        <v>1.9175197031422098</v>
      </c>
      <c r="N305" s="24">
        <f>IF('3. Detention'!$AJ$7&gt;0.2*($P305),('3. Detention'!$AJ$7-0.2*($P305))^2/('3. Detention'!$AJ$7+0.8*($P305)),0)</f>
        <v>4.3346821188002531</v>
      </c>
      <c r="O305" s="61">
        <f t="shared" si="8"/>
        <v>66.400000000000205</v>
      </c>
      <c r="P305" s="24">
        <f t="shared" si="9"/>
        <v>5.0602409638553745</v>
      </c>
    </row>
    <row r="306" spans="4:16" x14ac:dyDescent="0.3">
      <c r="D306" s="2">
        <v>306</v>
      </c>
      <c r="L306" s="24">
        <f>IF('3. Detention'!$Z$7&gt;0.2*($P306),('3. Detention'!$Z$7-0.2*($P306))^2/('3. Detention'!$Z$7+0.8*($P306)),0)</f>
        <v>0.63422990163482351</v>
      </c>
      <c r="M306" s="24">
        <f>IF('3. Detention'!$AE$7&gt;0.2*($P306),('3. Detention'!$AE$7-0.2*($P306))^2/('3. Detention'!$AE$7+0.8*($P306)),0)</f>
        <v>1.9253998642381085</v>
      </c>
      <c r="N306" s="24">
        <f>IF('3. Detention'!$AJ$7&gt;0.2*($P306),('3. Detention'!$AJ$7-0.2*($P306))^2/('3. Detention'!$AJ$7+0.8*($P306)),0)</f>
        <v>4.3463988517019185</v>
      </c>
      <c r="O306" s="61">
        <f t="shared" si="8"/>
        <v>66.500000000000199</v>
      </c>
      <c r="P306" s="24">
        <f t="shared" si="9"/>
        <v>5.0375939849623617</v>
      </c>
    </row>
    <row r="307" spans="4:16" x14ac:dyDescent="0.3">
      <c r="D307" s="2">
        <v>307</v>
      </c>
      <c r="L307" s="24">
        <f>IF('3. Detention'!$Z$7&gt;0.2*($P307),('3. Detention'!$Z$7-0.2*($P307))^2/('3. Detention'!$Z$7+0.8*($P307)),0)</f>
        <v>0.63852747415751598</v>
      </c>
      <c r="M307" s="24">
        <f>IF('3. Detention'!$AE$7&gt;0.2*($P307),('3. Detention'!$AE$7-0.2*($P307))^2/('3. Detention'!$AE$7+0.8*($P307)),0)</f>
        <v>1.9332915375352313</v>
      </c>
      <c r="N307" s="24">
        <f>IF('3. Detention'!$AJ$7&gt;0.2*($P307),('3. Detention'!$AJ$7-0.2*($P307))^2/('3. Detention'!$AJ$7+0.8*($P307)),0)</f>
        <v>4.3581179229419043</v>
      </c>
      <c r="O307" s="61">
        <f t="shared" si="8"/>
        <v>66.600000000000193</v>
      </c>
      <c r="P307" s="24">
        <f t="shared" si="9"/>
        <v>5.0150150150149706</v>
      </c>
    </row>
    <row r="308" spans="4:16" x14ac:dyDescent="0.3">
      <c r="D308" s="2">
        <v>308</v>
      </c>
      <c r="L308" s="24">
        <f>IF('3. Detention'!$Z$7&gt;0.2*($P308),('3. Detention'!$Z$7-0.2*($P308))^2/('3. Detention'!$Z$7+0.8*($P308)),0)</f>
        <v>0.64283951665281314</v>
      </c>
      <c r="M308" s="24">
        <f>IF('3. Detention'!$AE$7&gt;0.2*($P308),('3. Detention'!$AE$7-0.2*($P308))^2/('3. Detention'!$AE$7+0.8*($P308)),0)</f>
        <v>1.9411947186956771</v>
      </c>
      <c r="N308" s="24">
        <f>IF('3. Detention'!$AJ$7&gt;0.2*($P308),('3. Detention'!$AJ$7-0.2*($P308))^2/('3. Detention'!$AJ$7+0.8*($P308)),0)</f>
        <v>4.3698393173575276</v>
      </c>
      <c r="O308" s="61">
        <f t="shared" si="8"/>
        <v>66.700000000000188</v>
      </c>
      <c r="P308" s="24">
        <f t="shared" si="9"/>
        <v>4.9925037481258947</v>
      </c>
    </row>
    <row r="309" spans="4:16" x14ac:dyDescent="0.3">
      <c r="D309" s="2">
        <v>309</v>
      </c>
      <c r="L309" s="24">
        <f>IF('3. Detention'!$Z$7&gt;0.2*($P309),('3. Detention'!$Z$7-0.2*($P309))^2/('3. Detention'!$Z$7+0.8*($P309)),0)</f>
        <v>0.64716604791730037</v>
      </c>
      <c r="M309" s="24">
        <f>IF('3. Detention'!$AE$7&gt;0.2*($P309),('3. Detention'!$AE$7-0.2*($P309))^2/('3. Detention'!$AE$7+0.8*($P309)),0)</f>
        <v>1.9491094034928707</v>
      </c>
      <c r="N309" s="24">
        <f>IF('3. Detention'!$AJ$7&gt;0.2*($P309),('3. Detention'!$AJ$7-0.2*($P309))^2/('3. Detention'!$AJ$7+0.8*($P309)),0)</f>
        <v>4.3815630198776701</v>
      </c>
      <c r="O309" s="61">
        <f t="shared" si="8"/>
        <v>66.800000000000182</v>
      </c>
      <c r="P309" s="24">
        <f t="shared" si="9"/>
        <v>4.9700598802394804</v>
      </c>
    </row>
    <row r="310" spans="4:16" x14ac:dyDescent="0.3">
      <c r="D310" s="2">
        <v>310</v>
      </c>
      <c r="L310" s="24">
        <f>IF('3. Detention'!$Z$7&gt;0.2*($P310),('3. Detention'!$Z$7-0.2*($P310))^2/('3. Detention'!$Z$7+0.8*($P310)),0)</f>
        <v>0.65150708697764648</v>
      </c>
      <c r="M310" s="24">
        <f>IF('3. Detention'!$AE$7&gt;0.2*($P310),('3. Detention'!$AE$7-0.2*($P310))^2/('3. Detention'!$AE$7+0.8*($P310)),0)</f>
        <v>1.9570355878109216</v>
      </c>
      <c r="N310" s="24">
        <f>IF('3. Detention'!$AJ$7&gt;0.2*($P310),('3. Detention'!$AJ$7-0.2*($P310))^2/('3. Detention'!$AJ$7+0.8*($P310)),0)</f>
        <v>4.3932890155220932</v>
      </c>
      <c r="O310" s="61">
        <f t="shared" si="8"/>
        <v>66.900000000000176</v>
      </c>
      <c r="P310" s="24">
        <f t="shared" si="9"/>
        <v>4.9476831091180475</v>
      </c>
    </row>
    <row r="311" spans="4:16" x14ac:dyDescent="0.3">
      <c r="D311" s="2">
        <v>311</v>
      </c>
      <c r="L311" s="24">
        <f>IF('3. Detention'!$Z$7&gt;0.2*($P311),('3. Detention'!$Z$7-0.2*($P311))^2/('3. Detention'!$Z$7+0.8*($P311)),0)</f>
        <v>0.65586265309064029</v>
      </c>
      <c r="M311" s="24">
        <f>IF('3. Detention'!$AE$7&gt;0.2*($P311),('3. Detention'!$AE$7-0.2*($P311))^2/('3. Detention'!$AE$7+0.8*($P311)),0)</f>
        <v>1.9649732676439882</v>
      </c>
      <c r="N311" s="24">
        <f>IF('3. Detention'!$AJ$7&gt;0.2*($P311),('3. Detention'!$AJ$7-0.2*($P311))^2/('3. Detention'!$AJ$7+0.8*($P311)),0)</f>
        <v>4.4050172894007513</v>
      </c>
      <c r="O311" s="61">
        <f t="shared" si="8"/>
        <v>67.000000000000171</v>
      </c>
      <c r="P311" s="24">
        <f t="shared" si="9"/>
        <v>4.9253731343283196</v>
      </c>
    </row>
    <row r="312" spans="4:16" x14ac:dyDescent="0.3">
      <c r="D312" s="2">
        <v>312</v>
      </c>
      <c r="L312" s="24">
        <f>IF('3. Detention'!$Z$7&gt;0.2*($P312),('3. Detention'!$Z$7-0.2*($P312))^2/('3. Detention'!$Z$7+0.8*($P312)),0)</f>
        <v>0.66023276574323375</v>
      </c>
      <c r="M312" s="24">
        <f>IF('3. Detention'!$AE$7&gt;0.2*($P312),('3. Detention'!$AE$7-0.2*($P312))^2/('3. Detention'!$AE$7+0.8*($P312)),0)</f>
        <v>1.9729224390956503</v>
      </c>
      <c r="N312" s="24">
        <f>IF('3. Detention'!$AJ$7&gt;0.2*($P312),('3. Detention'!$AJ$7-0.2*($P312))^2/('3. Detention'!$AJ$7+0.8*($P312)),0)</f>
        <v>4.416747826713129</v>
      </c>
      <c r="O312" s="61">
        <f t="shared" si="8"/>
        <v>67.100000000000165</v>
      </c>
      <c r="P312" s="24">
        <f t="shared" si="9"/>
        <v>4.9031296572279821</v>
      </c>
    </row>
    <row r="313" spans="4:16" x14ac:dyDescent="0.3">
      <c r="D313" s="2">
        <v>313</v>
      </c>
      <c r="L313" s="24">
        <f>IF('3. Detention'!$Z$7&gt;0.2*($P313),('3. Detention'!$Z$7-0.2*($P313))^2/('3. Detention'!$Z$7+0.8*($P313)),0)</f>
        <v>0.66461744465260097</v>
      </c>
      <c r="M313" s="24">
        <f>IF('3. Detention'!$AE$7&gt;0.2*($P313),('3. Detention'!$AE$7-0.2*($P313))^2/('3. Detention'!$AE$7+0.8*($P313)),0)</f>
        <v>1.9808830983782892</v>
      </c>
      <c r="N313" s="24">
        <f>IF('3. Detention'!$AJ$7&gt;0.2*($P313),('3. Detention'!$AJ$7-0.2*($P313))^2/('3. Detention'!$AJ$7+0.8*($P313)),0)</f>
        <v>4.4284806127475669</v>
      </c>
      <c r="O313" s="61">
        <f t="shared" si="8"/>
        <v>67.200000000000159</v>
      </c>
      <c r="P313" s="24">
        <f t="shared" si="9"/>
        <v>4.8809523809523458</v>
      </c>
    </row>
    <row r="314" spans="4:16" x14ac:dyDescent="0.3">
      <c r="D314" s="2">
        <v>314</v>
      </c>
      <c r="L314" s="24">
        <f>IF('3. Detention'!$Z$7&gt;0.2*($P314),('3. Detention'!$Z$7-0.2*($P314))^2/('3. Detention'!$Z$7+0.8*($P314)),0)</f>
        <v>0.66901670976619965</v>
      </c>
      <c r="M314" s="24">
        <f>IF('3. Detention'!$AE$7&gt;0.2*($P314),('3. Detention'!$AE$7-0.2*($P314))^2/('3. Detention'!$AE$7+0.8*($P314)),0)</f>
        <v>1.988855241812473</v>
      </c>
      <c r="N314" s="24">
        <f>IF('3. Detention'!$AJ$7&gt;0.2*($P314),('3. Detention'!$AJ$7-0.2*($P314))^2/('3. Detention'!$AJ$7+0.8*($P314)),0)</f>
        <v>4.4402156328806104</v>
      </c>
      <c r="O314" s="61">
        <f t="shared" si="8"/>
        <v>67.300000000000153</v>
      </c>
      <c r="P314" s="24">
        <f t="shared" si="9"/>
        <v>4.8588410104011555</v>
      </c>
    </row>
    <row r="315" spans="4:16" x14ac:dyDescent="0.3">
      <c r="D315" s="2">
        <v>315</v>
      </c>
      <c r="L315" s="24">
        <f>IF('3. Detention'!$Z$7&gt;0.2*($P315),('3. Detention'!$Z$7-0.2*($P315))^2/('3. Detention'!$Z$7+0.8*($P315)),0)</f>
        <v>0.67343058126185096</v>
      </c>
      <c r="M315" s="24">
        <f>IF('3. Detention'!$AE$7&gt;0.2*($P315),('3. Detention'!$AE$7-0.2*($P315))^2/('3. Detention'!$AE$7+0.8*($P315)),0)</f>
        <v>1.9968388658263436</v>
      </c>
      <c r="N315" s="24">
        <f>IF('3. Detention'!$AJ$7&gt;0.2*($P315),('3. Detention'!$AJ$7-0.2*($P315))^2/('3. Detention'!$AJ$7+0.8*($P315)),0)</f>
        <v>4.4519528725763449</v>
      </c>
      <c r="O315" s="61">
        <f t="shared" si="8"/>
        <v>67.400000000000148</v>
      </c>
      <c r="P315" s="24">
        <f t="shared" si="9"/>
        <v>4.8367952522254871</v>
      </c>
    </row>
    <row r="316" spans="4:16" x14ac:dyDescent="0.3">
      <c r="D316" s="2">
        <v>316</v>
      </c>
      <c r="L316" s="24">
        <f>IF('3. Detention'!$Z$7&gt;0.2*($P316),('3. Detention'!$Z$7-0.2*($P316))^2/('3. Detention'!$Z$7+0.8*($P316)),0)</f>
        <v>0.67785907954782421</v>
      </c>
      <c r="M316" s="24">
        <f>IF('3. Detention'!$AE$7&gt;0.2*($P316),('3. Detention'!$AE$7-0.2*($P316))^2/('3. Detention'!$AE$7+0.8*($P316)),0)</f>
        <v>2.0048339669550179</v>
      </c>
      <c r="N316" s="24">
        <f>IF('3. Detention'!$AJ$7&gt;0.2*($P316),('3. Detention'!$AJ$7-0.2*($P316))^2/('3. Detention'!$AJ$7+0.8*($P316)),0)</f>
        <v>4.4636923173857541</v>
      </c>
      <c r="O316" s="61">
        <f t="shared" si="8"/>
        <v>67.500000000000142</v>
      </c>
      <c r="P316" s="24">
        <f t="shared" si="9"/>
        <v>4.8148148148147829</v>
      </c>
    </row>
    <row r="317" spans="4:16" x14ac:dyDescent="0.3">
      <c r="D317" s="2">
        <v>317</v>
      </c>
      <c r="L317" s="24">
        <f>IF('3. Detention'!$Z$7&gt;0.2*($P317),('3. Detention'!$Z$7-0.2*($P317))^2/('3. Detention'!$Z$7+0.8*($P317)),0)</f>
        <v>0.68230222526293383</v>
      </c>
      <c r="M317" s="24">
        <f>IF('3. Detention'!$AE$7&gt;0.2*($P317),('3. Detention'!$AE$7-0.2*($P317))^2/('3. Detention'!$AE$7+0.8*($P317)),0)</f>
        <v>2.0128405418399868</v>
      </c>
      <c r="N317" s="24">
        <f>IF('3. Detention'!$AJ$7&gt;0.2*($P317),('3. Detention'!$AJ$7-0.2*($P317))^2/('3. Detention'!$AJ$7+0.8*($P317)),0)</f>
        <v>4.4754339529460774</v>
      </c>
      <c r="O317" s="61">
        <f t="shared" si="8"/>
        <v>67.600000000000136</v>
      </c>
      <c r="P317" s="24">
        <f t="shared" si="9"/>
        <v>4.7928994082839935</v>
      </c>
    </row>
    <row r="318" spans="4:16" x14ac:dyDescent="0.3">
      <c r="D318" s="2">
        <v>318</v>
      </c>
      <c r="L318" s="24">
        <f>IF('3. Detention'!$Z$7&gt;0.2*($P318),('3. Detention'!$Z$7-0.2*($P318))^2/('3. Detention'!$Z$7+0.8*($P318)),0)</f>
        <v>0.68676003927664775</v>
      </c>
      <c r="M318" s="24">
        <f>IF('3. Detention'!$AE$7&gt;0.2*($P318),('3. Detention'!$AE$7-0.2*($P318))^2/('3. Detention'!$AE$7+0.8*($P318)),0)</f>
        <v>2.0208585872285232</v>
      </c>
      <c r="N318" s="24">
        <f>IF('3. Detention'!$AJ$7&gt;0.2*($P318),('3. Detention'!$AJ$7-0.2*($P318))^2/('3. Detention'!$AJ$7+0.8*($P318)),0)</f>
        <v>4.4871777649801663</v>
      </c>
      <c r="O318" s="61">
        <f t="shared" si="8"/>
        <v>67.700000000000131</v>
      </c>
      <c r="P318" s="24">
        <f t="shared" si="9"/>
        <v>4.7710487444608276</v>
      </c>
    </row>
    <row r="319" spans="4:16" x14ac:dyDescent="0.3">
      <c r="D319" s="2">
        <v>319</v>
      </c>
      <c r="L319" s="24">
        <f>IF('3. Detention'!$Z$7&gt;0.2*($P319),('3. Detention'!$Z$7-0.2*($P319))^2/('3. Detention'!$Z$7+0.8*($P319)),0)</f>
        <v>0.69123254268920387</v>
      </c>
      <c r="M319" s="24">
        <f>IF('3. Detention'!$AE$7&gt;0.2*($P319),('3. Detention'!$AE$7-0.2*($P319))^2/('3. Detention'!$AE$7+0.8*($P319)),0)</f>
        <v>2.0288880999731012</v>
      </c>
      <c r="N319" s="24">
        <f>IF('3. Detention'!$AJ$7&gt;0.2*($P319),('3. Detention'!$AJ$7-0.2*($P319))^2/('3. Detention'!$AJ$7+0.8*($P319)),0)</f>
        <v>4.4989237392958623</v>
      </c>
      <c r="O319" s="61">
        <f t="shared" si="8"/>
        <v>67.800000000000125</v>
      </c>
      <c r="P319" s="24">
        <f t="shared" si="9"/>
        <v>4.7492625368731289</v>
      </c>
    </row>
    <row r="320" spans="4:16" x14ac:dyDescent="0.3">
      <c r="D320" s="2">
        <v>320</v>
      </c>
      <c r="L320" s="24">
        <f>IF('3. Detention'!$Z$7&gt;0.2*($P320),('3. Detention'!$Z$7-0.2*($P320))^2/('3. Detention'!$Z$7+0.8*($P320)),0)</f>
        <v>0.69571975683173748</v>
      </c>
      <c r="M320" s="24">
        <f>IF('3. Detention'!$AE$7&gt;0.2*($P320),('3. Detention'!$AE$7-0.2*($P320))^2/('3. Detention'!$AE$7+0.8*($P320)),0)</f>
        <v>2.0369290770308082</v>
      </c>
      <c r="N320" s="24">
        <f>IF('3. Detention'!$AJ$7&gt;0.2*($P320),('3. Detention'!$AJ$7-0.2*($P320))^2/('3. Detention'!$AJ$7+0.8*($P320)),0)</f>
        <v>4.5106718617853616</v>
      </c>
      <c r="O320" s="61">
        <f t="shared" si="8"/>
        <v>67.900000000000119</v>
      </c>
      <c r="P320" s="24">
        <f t="shared" si="9"/>
        <v>4.7275405007363513</v>
      </c>
    </row>
    <row r="321" spans="4:16" x14ac:dyDescent="0.3">
      <c r="D321" s="2">
        <v>321</v>
      </c>
      <c r="L321" s="24">
        <f>IF('3. Detention'!$Z$7&gt;0.2*($P321),('3. Detention'!$Z$7-0.2*($P321))^2/('3. Detention'!$Z$7+0.8*($P321)),0)</f>
        <v>0.70022170326641975</v>
      </c>
      <c r="M321" s="24">
        <f>IF('3. Detention'!$AE$7&gt;0.2*($P321),('3. Detention'!$AE$7-0.2*($P321))^2/('3. Detention'!$AE$7+0.8*($P321)),0)</f>
        <v>2.0449815154627768</v>
      </c>
      <c r="N321" s="24">
        <f>IF('3. Detention'!$AJ$7&gt;0.2*($P321),('3. Detention'!$AJ$7-0.2*($P321))^2/('3. Detention'!$AJ$7+0.8*($P321)),0)</f>
        <v>4.5224221184246014</v>
      </c>
      <c r="O321" s="61">
        <f t="shared" si="8"/>
        <v>68.000000000000114</v>
      </c>
      <c r="P321" s="24">
        <f t="shared" si="9"/>
        <v>4.7058823529411526</v>
      </c>
    </row>
    <row r="322" spans="4:16" x14ac:dyDescent="0.3">
      <c r="D322" s="2">
        <v>322</v>
      </c>
      <c r="L322" s="24">
        <f>IF('3. Detention'!$Z$7&gt;0.2*($P322),('3. Detention'!$Z$7-0.2*($P322))^2/('3. Detention'!$Z$7+0.8*($P322)),0)</f>
        <v>0.70473840378660568</v>
      </c>
      <c r="M322" s="24">
        <f>IF('3. Detention'!$AE$7&gt;0.2*($P322),('3. Detention'!$AE$7-0.2*($P322))^2/('3. Detention'!$AE$7+0.8*($P322)),0)</f>
        <v>2.0530454124336117</v>
      </c>
      <c r="N322" s="24">
        <f>IF('3. Detention'!$AJ$7&gt;0.2*($P322),('3. Detention'!$AJ$7-0.2*($P322))^2/('3. Detention'!$AJ$7+0.8*($P322)),0)</f>
        <v>4.5341744952726408</v>
      </c>
      <c r="O322" s="61">
        <f t="shared" si="8"/>
        <v>68.100000000000108</v>
      </c>
      <c r="P322" s="24">
        <f t="shared" si="9"/>
        <v>4.6842878120410933</v>
      </c>
    </row>
    <row r="323" spans="4:16" x14ac:dyDescent="0.3">
      <c r="D323" s="2">
        <v>323</v>
      </c>
      <c r="L323" s="24">
        <f>IF('3. Detention'!$Z$7&gt;0.2*($P323),('3. Detention'!$Z$7-0.2*($P323))^2/('3. Detention'!$Z$7+0.8*($P323)),0)</f>
        <v>0.70926988041699235</v>
      </c>
      <c r="M323" s="24">
        <f>IF('3. Detention'!$AE$7&gt;0.2*($P323),('3. Detention'!$AE$7-0.2*($P323))^2/('3. Detention'!$AE$7+0.8*($P323)),0)</f>
        <v>2.0611207652108279</v>
      </c>
      <c r="N323" s="24">
        <f>IF('3. Detention'!$AJ$7&gt;0.2*($P323),('3. Detention'!$AJ$7-0.2*($P323))^2/('3. Detention'!$AJ$7+0.8*($P323)),0)</f>
        <v>4.5459289784710517</v>
      </c>
      <c r="O323" s="61">
        <f t="shared" si="8"/>
        <v>68.200000000000102</v>
      </c>
      <c r="P323" s="24">
        <f t="shared" si="9"/>
        <v>4.6627565982404473</v>
      </c>
    </row>
    <row r="324" spans="4:16" x14ac:dyDescent="0.3">
      <c r="D324" s="2">
        <v>324</v>
      </c>
      <c r="L324" s="24">
        <f>IF('3. Detention'!$Z$7&gt;0.2*($P324),('3. Detention'!$Z$7-0.2*($P324))^2/('3. Detention'!$Z$7+0.8*($P324)),0)</f>
        <v>0.71381615541378607</v>
      </c>
      <c r="M324" s="24">
        <f>IF('3. Detention'!$AE$7&gt;0.2*($P324),('3. Detention'!$AE$7-0.2*($P324))^2/('3. Detention'!$AE$7+0.8*($P324)),0)</f>
        <v>2.0692075711642923</v>
      </c>
      <c r="N324" s="24">
        <f>IF('3. Detention'!$AJ$7&gt;0.2*($P324),('3. Detention'!$AJ$7-0.2*($P324))^2/('3. Detention'!$AJ$7+0.8*($P324)),0)</f>
        <v>4.5576855542433199</v>
      </c>
      <c r="O324" s="61">
        <f t="shared" si="8"/>
        <v>68.300000000000097</v>
      </c>
      <c r="P324" s="24">
        <f t="shared" si="9"/>
        <v>4.6412884333821172</v>
      </c>
    </row>
    <row r="325" spans="4:16" x14ac:dyDescent="0.3">
      <c r="D325" s="2">
        <v>325</v>
      </c>
      <c r="L325" s="24">
        <f>IF('3. Detention'!$Z$7&gt;0.2*($P325),('3. Detention'!$Z$7-0.2*($P325))^2/('3. Detention'!$Z$7+0.8*($P325)),0)</f>
        <v>0.71837725126488283</v>
      </c>
      <c r="M325" s="24">
        <f>IF('3. Detention'!$AE$7&gt;0.2*($P325),('3. Detention'!$AE$7-0.2*($P325))^2/('3. Detention'!$AE$7+0.8*($P325)),0)</f>
        <v>2.0773058277656724</v>
      </c>
      <c r="N325" s="24">
        <f>IF('3. Detention'!$AJ$7&gt;0.2*($P325),('3. Detention'!$AJ$7-0.2*($P325))^2/('3. Detention'!$AJ$7+0.8*($P325)),0)</f>
        <v>4.5694442088942386</v>
      </c>
      <c r="O325" s="61">
        <f t="shared" si="8"/>
        <v>68.400000000000091</v>
      </c>
      <c r="P325" s="24">
        <f t="shared" si="9"/>
        <v>4.6198830409356528</v>
      </c>
    </row>
    <row r="326" spans="4:16" x14ac:dyDescent="0.3">
      <c r="D326" s="2">
        <v>326</v>
      </c>
      <c r="L326" s="24">
        <f>IF('3. Detention'!$Z$7&gt;0.2*($P326),('3. Detention'!$Z$7-0.2*($P326))^2/('3. Detention'!$Z$7+0.8*($P326)),0)</f>
        <v>0.72295319069005515</v>
      </c>
      <c r="M326" s="24">
        <f>IF('3. Detention'!$AE$7&gt;0.2*($P326),('3. Detention'!$AE$7-0.2*($P326))^2/('3. Detention'!$AE$7+0.8*($P326)),0)</f>
        <v>2.085415532587886</v>
      </c>
      <c r="N326" s="24">
        <f>IF('3. Detention'!$AJ$7&gt;0.2*($P326),('3. Detention'!$AJ$7-0.2*($P326))^2/('3. Detention'!$AJ$7+0.8*($P326)),0)</f>
        <v>4.5812049288093188</v>
      </c>
      <c r="O326" s="61">
        <f t="shared" si="8"/>
        <v>68.500000000000085</v>
      </c>
      <c r="P326" s="24">
        <f t="shared" si="9"/>
        <v>4.5985401459853836</v>
      </c>
    </row>
    <row r="327" spans="4:16" x14ac:dyDescent="0.3">
      <c r="D327" s="2">
        <v>327</v>
      </c>
      <c r="L327" s="24">
        <f>IF('3. Detention'!$Z$7&gt;0.2*($P327),('3. Detention'!$Z$7-0.2*($P327))^2/('3. Detention'!$Z$7+0.8*($P327)),0)</f>
        <v>0.72754399664115199</v>
      </c>
      <c r="M327" s="24">
        <f>IF('3. Detention'!$AE$7&gt;0.2*($P327),('3. Detention'!$AE$7-0.2*($P327))^2/('3. Detention'!$AE$7+0.8*($P327)),0)</f>
        <v>2.0935366833045617</v>
      </c>
      <c r="N327" s="24">
        <f>IF('3. Detention'!$AJ$7&gt;0.2*($P327),('3. Detention'!$AJ$7-0.2*($P327))^2/('3. Detention'!$AJ$7+0.8*($P327)),0)</f>
        <v>4.5929677004541993</v>
      </c>
      <c r="O327" s="61">
        <f t="shared" si="8"/>
        <v>68.60000000000008</v>
      </c>
      <c r="P327" s="24">
        <f t="shared" si="9"/>
        <v>4.5772594752186428</v>
      </c>
    </row>
    <row r="328" spans="4:16" x14ac:dyDescent="0.3">
      <c r="D328" s="2">
        <v>328</v>
      </c>
      <c r="L328" s="24">
        <f>IF('3. Detention'!$Z$7&gt;0.2*($P328),('3. Detention'!$Z$7-0.2*($P328))^2/('3. Detention'!$Z$7+0.8*($P328)),0)</f>
        <v>0.7321496923023062</v>
      </c>
      <c r="M328" s="24">
        <f>IF('3. Detention'!$AE$7&gt;0.2*($P328),('3. Detention'!$AE$7-0.2*($P328))^2/('3. Detention'!$AE$7+0.8*($P328)),0)</f>
        <v>2.1016692776895041</v>
      </c>
      <c r="N328" s="24">
        <f>IF('3. Detention'!$AJ$7&gt;0.2*($P328),('3. Detention'!$AJ$7-0.2*($P328))^2/('3. Detention'!$AJ$7+0.8*($P328)),0)</f>
        <v>4.6047325103740668</v>
      </c>
      <c r="O328" s="61">
        <f t="shared" si="8"/>
        <v>68.700000000000074</v>
      </c>
      <c r="P328" s="24">
        <f t="shared" si="9"/>
        <v>4.5560407569141042</v>
      </c>
    </row>
    <row r="329" spans="4:16" x14ac:dyDescent="0.3">
      <c r="D329" s="2">
        <v>329</v>
      </c>
      <c r="L329" s="24">
        <f>IF('3. Detention'!$Z$7&gt;0.2*($P329),('3. Detention'!$Z$7-0.2*($P329))^2/('3. Detention'!$Z$7+0.8*($P329)),0)</f>
        <v>0.7367703010901544</v>
      </c>
      <c r="M329" s="24">
        <f>IF('3. Detention'!$AE$7&gt;0.2*($P329),('3. Detention'!$AE$7-0.2*($P329))^2/('3. Detention'!$AE$7+0.8*($P329)),0)</f>
        <v>2.109813313616157</v>
      </c>
      <c r="N329" s="24">
        <f>IF('3. Detention'!$AJ$7&gt;0.2*($P329),('3. Detention'!$AJ$7-0.2*($P329))^2/('3. Detention'!$AJ$7+0.8*($P329)),0)</f>
        <v>4.6164993451930743</v>
      </c>
      <c r="O329" s="61">
        <f t="shared" si="8"/>
        <v>68.800000000000068</v>
      </c>
      <c r="P329" s="24">
        <f t="shared" si="9"/>
        <v>4.5348837209302175</v>
      </c>
    </row>
    <row r="330" spans="4:16" x14ac:dyDescent="0.3">
      <c r="D330" s="2">
        <v>330</v>
      </c>
      <c r="L330" s="24">
        <f>IF('3. Detention'!$Z$7&gt;0.2*($P330),('3. Detention'!$Z$7-0.2*($P330))^2/('3. Detention'!$Z$7+0.8*($P330)),0)</f>
        <v>0.74140584665406484</v>
      </c>
      <c r="M330" s="24">
        <f>IF('3. Detention'!$AE$7&gt;0.2*($P330),('3. Detention'!$AE$7-0.2*($P330))^2/('3. Detention'!$AE$7+0.8*($P330)),0)</f>
        <v>2.1179687890570804</v>
      </c>
      <c r="N330" s="24">
        <f>IF('3. Detention'!$AJ$7&gt;0.2*($P330),('3. Detention'!$AJ$7-0.2*($P330))^2/('3. Detention'!$AJ$7+0.8*($P330)),0)</f>
        <v>4.6282681916137642</v>
      </c>
      <c r="O330" s="61">
        <f t="shared" si="8"/>
        <v>68.900000000000063</v>
      </c>
      <c r="P330" s="24">
        <f t="shared" si="9"/>
        <v>4.5137880986937464</v>
      </c>
    </row>
    <row r="331" spans="4:16" x14ac:dyDescent="0.3">
      <c r="D331" s="2">
        <v>331</v>
      </c>
      <c r="L331" s="24">
        <f>IF('3. Detention'!$Z$7&gt;0.2*($P331),('3. Detention'!$Z$7-0.2*($P331))^2/('3. Detention'!$Z$7+0.8*($P331)),0)</f>
        <v>0.74605635287637728</v>
      </c>
      <c r="M331" s="24">
        <f>IF('3. Detention'!$AE$7&gt;0.2*($P331),('3. Detention'!$AE$7-0.2*($P331))^2/('3. Detention'!$AE$7+0.8*($P331)),0)</f>
        <v>2.1261357020834319</v>
      </c>
      <c r="N331" s="24">
        <f>IF('3. Detention'!$AJ$7&gt;0.2*($P331),('3. Detention'!$AJ$7-0.2*($P331))^2/('3. Detention'!$AJ$7+0.8*($P331)),0)</f>
        <v>4.6400390364165123</v>
      </c>
      <c r="O331" s="61">
        <f t="shared" si="8"/>
        <v>69.000000000000057</v>
      </c>
      <c r="P331" s="24">
        <f t="shared" si="9"/>
        <v>4.4927536231883938</v>
      </c>
    </row>
    <row r="332" spans="4:16" x14ac:dyDescent="0.3">
      <c r="D332" s="2">
        <v>332</v>
      </c>
      <c r="L332" s="24">
        <f>IF('3. Detention'!$Z$7&gt;0.2*($P332),('3. Detention'!$Z$7-0.2*($P332))^2/('3. Detention'!$Z$7+0.8*($P332)),0)</f>
        <v>0.7507218438726504</v>
      </c>
      <c r="M332" s="24">
        <f>IF('3. Detention'!$AE$7&gt;0.2*($P332),('3. Detention'!$AE$7-0.2*($P332))^2/('3. Detention'!$AE$7+0.8*($P332)),0)</f>
        <v>2.1343140508644449</v>
      </c>
      <c r="N332" s="24">
        <f>IF('3. Detention'!$AJ$7&gt;0.2*($P332),('3. Detention'!$AJ$7-0.2*($P332))^2/('3. Detention'!$AJ$7+0.8*($P332)),0)</f>
        <v>4.6518118664589512</v>
      </c>
      <c r="O332" s="61">
        <f t="shared" si="8"/>
        <v>69.100000000000051</v>
      </c>
      <c r="P332" s="24">
        <f t="shared" si="9"/>
        <v>4.4717800289435488</v>
      </c>
    </row>
    <row r="333" spans="4:16" x14ac:dyDescent="0.3">
      <c r="D333" s="2">
        <v>333</v>
      </c>
      <c r="L333" s="24">
        <f>IF('3. Detention'!$Z$7&gt;0.2*($P333),('3. Detention'!$Z$7-0.2*($P333))^2/('3. Detention'!$Z$7+0.8*($P333)),0)</f>
        <v>0.75540234399192097</v>
      </c>
      <c r="M333" s="24">
        <f>IF('3. Detention'!$AE$7&gt;0.2*($P333),('3. Detention'!$AE$7-0.2*($P333))^2/('3. Detention'!$AE$7+0.8*($P333)),0)</f>
        <v>2.1425038336669227</v>
      </c>
      <c r="N333" s="24">
        <f>IF('3. Detention'!$AJ$7&gt;0.2*($P333),('3. Detention'!$AJ$7-0.2*($P333))^2/('3. Detention'!$AJ$7+0.8*($P333)),0)</f>
        <v>4.6635866686754177</v>
      </c>
      <c r="O333" s="61">
        <f t="shared" si="8"/>
        <v>69.200000000000045</v>
      </c>
      <c r="P333" s="24">
        <f t="shared" si="9"/>
        <v>4.4508670520231117</v>
      </c>
    </row>
    <row r="334" spans="4:16" x14ac:dyDescent="0.3">
      <c r="D334" s="2">
        <v>334</v>
      </c>
      <c r="L334" s="24">
        <f>IF('3. Detention'!$Z$7&gt;0.2*($P334),('3. Detention'!$Z$7-0.2*($P334))^2/('3. Detention'!$Z$7+0.8*($P334)),0)</f>
        <v>0.76009787781697413</v>
      </c>
      <c r="M334" s="24">
        <f>IF('3. Detention'!$AE$7&gt;0.2*($P334),('3. Detention'!$AE$7-0.2*($P334))^2/('3. Detention'!$AE$7+0.8*($P334)),0)</f>
        <v>2.1507050488547264</v>
      </c>
      <c r="N334" s="24">
        <f>IF('3. Detention'!$AJ$7&gt;0.2*($P334),('3. Detention'!$AJ$7-0.2*($P334))^2/('3. Detention'!$AJ$7+0.8*($P334)),0)</f>
        <v>4.6753634300764002</v>
      </c>
      <c r="O334" s="61">
        <f t="shared" si="8"/>
        <v>69.30000000000004</v>
      </c>
      <c r="P334" s="24">
        <f t="shared" si="9"/>
        <v>4.4300144300144222</v>
      </c>
    </row>
    <row r="335" spans="4:16" x14ac:dyDescent="0.3">
      <c r="D335" s="2">
        <v>335</v>
      </c>
      <c r="L335" s="24">
        <f>IF('3. Detention'!$Z$7&gt;0.2*($P335),('3. Detention'!$Z$7-0.2*($P335))^2/('3. Detention'!$Z$7+0.8*($P335)),0)</f>
        <v>0.76480847016462028</v>
      </c>
      <c r="M335" s="24">
        <f>IF('3. Detention'!$AE$7&gt;0.2*($P335),('3. Detention'!$AE$7-0.2*($P335))^2/('3. Detention'!$AE$7+0.8*($P335)),0)</f>
        <v>2.158917694888284</v>
      </c>
      <c r="N335" s="24">
        <f>IF('3. Detention'!$AJ$7&gt;0.2*($P335),('3. Detention'!$AJ$7-0.2*($P335))^2/('3. Detention'!$AJ$7+0.8*($P335)),0)</f>
        <v>4.6871421377479914</v>
      </c>
      <c r="O335" s="61">
        <f t="shared" si="8"/>
        <v>69.400000000000034</v>
      </c>
      <c r="P335" s="24">
        <f t="shared" si="9"/>
        <v>4.4092219020172845</v>
      </c>
    </row>
    <row r="336" spans="4:16" x14ac:dyDescent="0.3">
      <c r="D336" s="2">
        <v>336</v>
      </c>
      <c r="L336" s="24">
        <f>IF('3. Detention'!$Z$7&gt;0.2*($P336),('3. Detention'!$Z$7-0.2*($P336))^2/('3. Detention'!$Z$7+0.8*($P336)),0)</f>
        <v>0.76953414608598392</v>
      </c>
      <c r="M336" s="24">
        <f>IF('3. Detention'!$AE$7&gt;0.2*($P336),('3. Detention'!$AE$7-0.2*($P336))^2/('3. Detention'!$AE$7+0.8*($P336)),0)</f>
        <v>2.1671417703240823</v>
      </c>
      <c r="N336" s="24">
        <f>IF('3. Detention'!$AJ$7&gt;0.2*($P336),('3. Detention'!$AJ$7-0.2*($P336))^2/('3. Detention'!$AJ$7+0.8*($P336)),0)</f>
        <v>4.6989227788513359</v>
      </c>
      <c r="O336" s="61">
        <f t="shared" si="8"/>
        <v>69.500000000000028</v>
      </c>
      <c r="P336" s="24">
        <f t="shared" si="9"/>
        <v>4.3884892086330876</v>
      </c>
    </row>
    <row r="337" spans="4:16" x14ac:dyDescent="0.3">
      <c r="D337" s="2">
        <v>337</v>
      </c>
      <c r="L337" s="24">
        <f>IF('3. Detention'!$Z$7&gt;0.2*($P337),('3. Detention'!$Z$7-0.2*($P337))^2/('3. Detention'!$Z$7+0.8*($P337)),0)</f>
        <v>0.77427493086680355</v>
      </c>
      <c r="M337" s="24">
        <f>IF('3. Detention'!$AE$7&gt;0.2*($P337),('3. Detention'!$AE$7-0.2*($P337))^2/('3. Detention'!$AE$7+0.8*($P337)),0)</f>
        <v>2.1753772738141817</v>
      </c>
      <c r="N337" s="24">
        <f>IF('3. Detention'!$AJ$7&gt;0.2*($P337),('3. Detention'!$AJ$7-0.2*($P337))^2/('3. Detention'!$AJ$7+0.8*($P337)),0)</f>
        <v>4.7107053406221011</v>
      </c>
      <c r="O337" s="61">
        <f t="shared" si="8"/>
        <v>69.600000000000023</v>
      </c>
      <c r="P337" s="24">
        <f t="shared" si="9"/>
        <v>4.367816091954019</v>
      </c>
    </row>
    <row r="338" spans="4:16" x14ac:dyDescent="0.3">
      <c r="D338" s="2">
        <v>338</v>
      </c>
      <c r="L338" s="24">
        <f>IF('3. Detention'!$Z$7&gt;0.2*($P338),('3. Detention'!$Z$7-0.2*($P338))^2/('3. Detention'!$Z$7+0.8*($P338)),0)</f>
        <v>0.77903085002773953</v>
      </c>
      <c r="M338" s="24">
        <f>IF('3. Detention'!$AE$7&gt;0.2*($P338),('3. Detention'!$AE$7-0.2*($P338))^2/('3. Detention'!$AE$7+0.8*($P338)),0)</f>
        <v>2.183624204105731</v>
      </c>
      <c r="N338" s="24">
        <f>IF('3. Detention'!$AJ$7&gt;0.2*($P338),('3. Detention'!$AJ$7-0.2*($P338))^2/('3. Detention'!$AJ$7+0.8*($P338)),0)</f>
        <v>4.722489810369936</v>
      </c>
      <c r="O338" s="61">
        <f t="shared" si="8"/>
        <v>69.700000000000017</v>
      </c>
      <c r="P338" s="24">
        <f t="shared" si="9"/>
        <v>4.3472022955523641</v>
      </c>
    </row>
    <row r="339" spans="4:16" x14ac:dyDescent="0.3">
      <c r="D339" s="2">
        <v>339</v>
      </c>
      <c r="L339" s="24">
        <f>IF('3. Detention'!$Z$7&gt;0.2*($P339),('3. Detention'!$Z$7-0.2*($P339))^2/('3. Detention'!$Z$7+0.8*($P339)),0)</f>
        <v>0.78380192932469162</v>
      </c>
      <c r="M339" s="24">
        <f>IF('3. Detention'!$AE$7&gt;0.2*($P339),('3. Detention'!$AE$7-0.2*($P339))^2/('3. Detention'!$AE$7+0.8*($P339)),0)</f>
        <v>2.1918825600404799</v>
      </c>
      <c r="N339" s="24">
        <f>IF('3. Detention'!$AJ$7&gt;0.2*($P339),('3. Detention'!$AJ$7-0.2*($P339))^2/('3. Detention'!$AJ$7+0.8*($P339)),0)</f>
        <v>4.7342761754779437</v>
      </c>
      <c r="O339" s="61">
        <f t="shared" si="8"/>
        <v>69.800000000000011</v>
      </c>
      <c r="P339" s="24">
        <f t="shared" si="9"/>
        <v>4.3266475644699121</v>
      </c>
    </row>
    <row r="340" spans="4:16" x14ac:dyDescent="0.3">
      <c r="D340" s="2">
        <v>340</v>
      </c>
      <c r="L340" s="24">
        <f>IF('3. Detention'!$Z$7&gt;0.2*($P340),('3. Detention'!$Z$7-0.2*($P340))^2/('3. Detention'!$Z$7+0.8*($P340)),0)</f>
        <v>0.78858819474912922</v>
      </c>
      <c r="M340" s="24">
        <f>IF('3. Detention'!$AE$7&gt;0.2*($P340),('3. Detention'!$AE$7-0.2*($P340))^2/('3. Detention'!$AE$7+0.8*($P340)),0)</f>
        <v>2.2001523405543058</v>
      </c>
      <c r="N340" s="24">
        <f>IF('3. Detention'!$AJ$7&gt;0.2*($P340),('3. Detention'!$AJ$7-0.2*($P340))^2/('3. Detention'!$AJ$7+0.8*($P340)),0)</f>
        <v>4.7460644234021538</v>
      </c>
      <c r="O340" s="61">
        <f t="shared" si="8"/>
        <v>69.900000000000006</v>
      </c>
      <c r="P340" s="24">
        <f t="shared" si="9"/>
        <v>4.3061516452074375</v>
      </c>
    </row>
    <row r="341" spans="4:16" x14ac:dyDescent="0.3">
      <c r="D341" s="2">
        <v>341</v>
      </c>
      <c r="L341" s="24">
        <f>IF('3. Detention'!$Z$7&gt;0.2*($P341),('3. Detention'!$Z$7-0.2*($P341))^2/('3. Detention'!$Z$7+0.8*($P341)),0)</f>
        <v>0.79338967252842851</v>
      </c>
      <c r="M341" s="24">
        <f>IF('3. Detention'!$AE$7&gt;0.2*($P341),('3. Detention'!$AE$7-0.2*($P341))^2/('3. Detention'!$AE$7+0.8*($P341)),0)</f>
        <v>2.2084335446767387</v>
      </c>
      <c r="N341" s="24">
        <f>IF('3. Detention'!$AJ$7&gt;0.2*($P341),('3. Detention'!$AJ$7-0.2*($P341))^2/('3. Detention'!$AJ$7+0.8*($P341)),0)</f>
        <v>4.7578545416710014</v>
      </c>
      <c r="O341" s="61">
        <f t="shared" si="8"/>
        <v>70</v>
      </c>
      <c r="P341" s="24">
        <f t="shared" si="9"/>
        <v>4.2857142857142865</v>
      </c>
    </row>
    <row r="342" spans="4:16" x14ac:dyDescent="0.3">
      <c r="D342" s="2">
        <v>342</v>
      </c>
      <c r="L342" s="24">
        <f>IF('3. Detention'!$Z$7&gt;0.2*($P342),('3. Detention'!$Z$7-0.2*($P342))^2/('3. Detention'!$Z$7+0.8*($P342)),0)</f>
        <v>0.79820638912622144</v>
      </c>
      <c r="M342" s="24">
        <f>IF('3. Detention'!$AE$7&gt;0.2*($P342),('3. Detention'!$AE$7-0.2*($P342))^2/('3. Detention'!$AE$7+0.8*($P342)),0)</f>
        <v>2.2167261715304982</v>
      </c>
      <c r="N342" s="24">
        <f>IF('3. Detention'!$AJ$7&gt;0.2*($P342),('3. Detention'!$AJ$7-0.2*($P342))^2/('3. Detention'!$AJ$7+0.8*($P342)),0)</f>
        <v>4.7696465178848175</v>
      </c>
      <c r="O342" s="61">
        <f t="shared" si="8"/>
        <v>70.099999999999994</v>
      </c>
      <c r="P342" s="24">
        <f t="shared" si="9"/>
        <v>4.2653352353780321</v>
      </c>
    </row>
    <row r="343" spans="4:16" x14ac:dyDescent="0.3">
      <c r="D343" s="2">
        <v>343</v>
      </c>
      <c r="L343" s="24">
        <f>IF('3. Detention'!$Z$7&gt;0.2*($P343),('3. Detention'!$Z$7-0.2*($P343))^2/('3. Detention'!$Z$7+0.8*($P343)),0)</f>
        <v>0.80303837124275235</v>
      </c>
      <c r="M343" s="24">
        <f>IF('3. Detention'!$AE$7&gt;0.2*($P343),('3. Detention'!$AE$7-0.2*($P343))^2/('3. Detention'!$AE$7+0.8*($P343)),0)</f>
        <v>2.225030220331023</v>
      </c>
      <c r="N343" s="24">
        <f>IF('3. Detention'!$AJ$7&gt;0.2*($P343),('3. Detention'!$AJ$7-0.2*($P343))^2/('3. Detention'!$AJ$7+0.8*($P343)),0)</f>
        <v>4.7814403397153047</v>
      </c>
      <c r="O343" s="61">
        <f t="shared" si="8"/>
        <v>70.199999999999989</v>
      </c>
      <c r="P343" s="24">
        <f t="shared" si="9"/>
        <v>4.2450142450142465</v>
      </c>
    </row>
    <row r="344" spans="4:16" x14ac:dyDescent="0.3">
      <c r="D344" s="2">
        <v>344</v>
      </c>
      <c r="L344" s="24">
        <f>IF('3. Detention'!$Z$7&gt;0.2*($P344),('3. Detention'!$Z$7-0.2*($P344))^2/('3. Detention'!$Z$7+0.8*($P344)),0)</f>
        <v>0.80788564581524891</v>
      </c>
      <c r="M344" s="24">
        <f>IF('3. Detention'!$AE$7&gt;0.2*($P344),('3. Detention'!$AE$7-0.2*($P344))^2/('3. Detention'!$AE$7+0.8*($P344)),0)</f>
        <v>2.2333456903860145</v>
      </c>
      <c r="N344" s="24">
        <f>IF('3. Detention'!$AJ$7&gt;0.2*($P344),('3. Detention'!$AJ$7-0.2*($P344))^2/('3. Detention'!$AJ$7+0.8*($P344)),0)</f>
        <v>4.7932359949050394</v>
      </c>
      <c r="O344" s="61">
        <f t="shared" si="8"/>
        <v>70.299999999999983</v>
      </c>
      <c r="P344" s="24">
        <f t="shared" si="9"/>
        <v>4.2247510668563333</v>
      </c>
    </row>
    <row r="345" spans="4:16" x14ac:dyDescent="0.3">
      <c r="D345" s="2">
        <v>345</v>
      </c>
      <c r="L345" s="24">
        <f>IF('3. Detention'!$Z$7&gt;0.2*($P345),('3. Detention'!$Z$7-0.2*($P345))^2/('3. Detention'!$Z$7+0.8*($P345)),0)</f>
        <v>0.81274824001829771</v>
      </c>
      <c r="M345" s="24">
        <f>IF('3. Detention'!$AE$7&gt;0.2*($P345),('3. Detention'!$AE$7-0.2*($P345))^2/('3. Detention'!$AE$7+0.8*($P345)),0)</f>
        <v>2.2416725810949854</v>
      </c>
      <c r="N345" s="24">
        <f>IF('3. Detention'!$AJ$7&gt;0.2*($P345),('3. Detention'!$AJ$7-0.2*($P345))^2/('3. Detention'!$AJ$7+0.8*($P345)),0)</f>
        <v>4.8050334712669622</v>
      </c>
      <c r="O345" s="61">
        <f t="shared" si="8"/>
        <v>70.399999999999977</v>
      </c>
      <c r="P345" s="24">
        <f t="shared" si="9"/>
        <v>4.2045454545454586</v>
      </c>
    </row>
    <row r="346" spans="4:16" x14ac:dyDescent="0.3">
      <c r="D346" s="2">
        <v>346</v>
      </c>
      <c r="L346" s="24">
        <f>IF('3. Detention'!$Z$7&gt;0.2*($P346),('3. Detention'!$Z$7-0.2*($P346))^2/('3. Detention'!$Z$7+0.8*($P346)),0)</f>
        <v>0.81762618126423237</v>
      </c>
      <c r="M346" s="24">
        <f>IF('3. Detention'!$AE$7&gt;0.2*($P346),('3. Detention'!$AE$7-0.2*($P346))^2/('3. Detention'!$AE$7+0.8*($P346)),0)</f>
        <v>2.2500108919488042</v>
      </c>
      <c r="N346" s="24">
        <f>IF('3. Detention'!$AJ$7&gt;0.2*($P346),('3. Detention'!$AJ$7-0.2*($P346))^2/('3. Detention'!$AJ$7+0.8*($P346)),0)</f>
        <v>4.8168327566838833</v>
      </c>
      <c r="O346" s="61">
        <f t="shared" si="8"/>
        <v>70.499999999999972</v>
      </c>
      <c r="P346" s="24">
        <f t="shared" si="9"/>
        <v>4.1843971631205736</v>
      </c>
    </row>
    <row r="347" spans="4:16" x14ac:dyDescent="0.3">
      <c r="D347" s="2">
        <v>347</v>
      </c>
      <c r="L347" s="24">
        <f>IF('3. Detention'!$Z$7&gt;0.2*($P347),('3. Detention'!$Z$7-0.2*($P347))^2/('3. Detention'!$Z$7+0.8*($P347)),0)</f>
        <v>0.82251949720353323</v>
      </c>
      <c r="M347" s="24">
        <f>IF('3. Detention'!$AE$7&gt;0.2*($P347),('3. Detention'!$AE$7-0.2*($P347))^2/('3. Detention'!$AE$7+0.8*($P347)),0)</f>
        <v>2.2583606225292558</v>
      </c>
      <c r="N347" s="24">
        <f>IF('3. Detention'!$AJ$7&gt;0.2*($P347),('3. Detention'!$AJ$7-0.2*($P347))^2/('3. Detention'!$AJ$7+0.8*($P347)),0)</f>
        <v>4.8286338391079857</v>
      </c>
      <c r="O347" s="61">
        <f t="shared" ref="O347:O410" si="10">O346+0.1</f>
        <v>70.599999999999966</v>
      </c>
      <c r="P347" s="24">
        <f t="shared" si="9"/>
        <v>4.1643059490085061</v>
      </c>
    </row>
    <row r="348" spans="4:16" x14ac:dyDescent="0.3">
      <c r="D348" s="2">
        <v>348</v>
      </c>
      <c r="L348" s="24">
        <f>IF('3. Detention'!$Z$7&gt;0.2*($P348),('3. Detention'!$Z$7-0.2*($P348))^2/('3. Detention'!$Z$7+0.8*($P348)),0)</f>
        <v>0.82742821572523273</v>
      </c>
      <c r="M348" s="24">
        <f>IF('3. Detention'!$AE$7&gt;0.2*($P348),('3. Detention'!$AE$7-0.2*($P348))^2/('3. Detention'!$AE$7+0.8*($P348)),0)</f>
        <v>2.2667217725085926</v>
      </c>
      <c r="N348" s="24">
        <f>IF('3. Detention'!$AJ$7&gt;0.2*($P348),('3. Detention'!$AJ$7-0.2*($P348))^2/('3. Detention'!$AJ$7+0.8*($P348)),0)</f>
        <v>4.8404367065603306</v>
      </c>
      <c r="O348" s="61">
        <f t="shared" si="10"/>
        <v>70.69999999999996</v>
      </c>
      <c r="P348" s="24">
        <f t="shared" si="9"/>
        <v>4.144271570014153</v>
      </c>
    </row>
    <row r="349" spans="4:16" x14ac:dyDescent="0.3">
      <c r="D349" s="2">
        <v>349</v>
      </c>
      <c r="L349" s="24">
        <f>IF('3. Detention'!$Z$7&gt;0.2*($P349),('3. Detention'!$Z$7-0.2*($P349))^2/('3. Detention'!$Z$7+0.8*($P349)),0)</f>
        <v>0.83235236495733456</v>
      </c>
      <c r="M349" s="24">
        <f>IF('3. Detention'!$AE$7&gt;0.2*($P349),('3. Detention'!$AE$7-0.2*($P349))^2/('3. Detention'!$AE$7+0.8*($P349)),0)</f>
        <v>2.2750943416491034</v>
      </c>
      <c r="N349" s="24">
        <f>IF('3. Detention'!$AJ$7&gt;0.2*($P349),('3. Detention'!$AJ$7-0.2*($P349))^2/('3. Detention'!$AJ$7+0.8*($P349)),0)</f>
        <v>4.852241347130378</v>
      </c>
      <c r="O349" s="61">
        <f t="shared" si="10"/>
        <v>70.799999999999955</v>
      </c>
      <c r="P349" s="24">
        <f t="shared" si="9"/>
        <v>4.1242937853107442</v>
      </c>
    </row>
    <row r="350" spans="4:16" x14ac:dyDescent="0.3">
      <c r="D350" s="2">
        <v>350</v>
      </c>
      <c r="L350" s="24">
        <f>IF('3. Detention'!$Z$7&gt;0.2*($P350),('3. Detention'!$Z$7-0.2*($P350))^2/('3. Detention'!$Z$7+0.8*($P350)),0)</f>
        <v>0.83729197326724025</v>
      </c>
      <c r="M350" s="24">
        <f>IF('3. Detention'!$AE$7&gt;0.2*($P350),('3. Detention'!$AE$7-0.2*($P350))^2/('3. Detention'!$AE$7+0.8*($P350)),0)</f>
        <v>2.2834783298026782</v>
      </c>
      <c r="N350" s="24">
        <f>IF('3. Detention'!$AJ$7&gt;0.2*($P350),('3. Detention'!$AJ$7-0.2*($P350))^2/('3. Detention'!$AJ$7+0.8*($P350)),0)</f>
        <v>4.8640477489754996</v>
      </c>
      <c r="O350" s="61">
        <f t="shared" si="10"/>
        <v>70.899999999999949</v>
      </c>
      <c r="P350" s="24">
        <f t="shared" si="9"/>
        <v>4.1043723554301934</v>
      </c>
    </row>
    <row r="351" spans="4:16" x14ac:dyDescent="0.3">
      <c r="D351" s="2">
        <v>351</v>
      </c>
      <c r="L351" s="24">
        <f>IF('3. Detention'!$Z$7&gt;0.2*($P351),('3. Detention'!$Z$7-0.2*($P351))^2/('3. Detention'!$Z$7+0.8*($P351)),0)</f>
        <v>0.84224706926218729</v>
      </c>
      <c r="M351" s="24">
        <f>IF('3. Detention'!$AE$7&gt;0.2*($P351),('3. Detention'!$AE$7-0.2*($P351))^2/('3. Detention'!$AE$7+0.8*($P351)),0)</f>
        <v>2.291873736910377</v>
      </c>
      <c r="N351" s="24">
        <f>IF('3. Detention'!$AJ$7&gt;0.2*($P351),('3. Detention'!$AJ$7-0.2*($P351))^2/('3. Detention'!$AJ$7+0.8*($P351)),0)</f>
        <v>4.8758559003204969</v>
      </c>
      <c r="O351" s="61">
        <f t="shared" si="10"/>
        <v>70.999999999999943</v>
      </c>
      <c r="P351" s="24">
        <f t="shared" si="9"/>
        <v>4.0845070422535326</v>
      </c>
    </row>
    <row r="352" spans="4:16" x14ac:dyDescent="0.3">
      <c r="D352" s="2">
        <v>352</v>
      </c>
      <c r="L352" s="24">
        <f>IF('3. Detention'!$Z$7&gt;0.2*($P352),('3. Detention'!$Z$7-0.2*($P352))^2/('3. Detention'!$Z$7+0.8*($P352)),0)</f>
        <v>0.8472176817896967</v>
      </c>
      <c r="M352" s="24">
        <f>IF('3. Detention'!$AE$7&gt;0.2*($P352),('3. Detention'!$AE$7-0.2*($P352))^2/('3. Detention'!$AE$7+0.8*($P352)),0)</f>
        <v>2.3002805630020129</v>
      </c>
      <c r="N352" s="24">
        <f>IF('3. Detention'!$AJ$7&gt;0.2*($P352),('3. Detention'!$AJ$7-0.2*($P352))^2/('3. Detention'!$AJ$7+0.8*($P352)),0)</f>
        <v>4.8876657894571407</v>
      </c>
      <c r="O352" s="61">
        <f t="shared" si="10"/>
        <v>71.099999999999937</v>
      </c>
      <c r="P352" s="24">
        <f t="shared" si="9"/>
        <v>4.0646976090014189</v>
      </c>
    </row>
    <row r="353" spans="4:16" x14ac:dyDescent="0.3">
      <c r="D353" s="2">
        <v>353</v>
      </c>
      <c r="L353" s="24">
        <f>IF('3. Detention'!$Z$7&gt;0.2*($P353),('3. Detention'!$Z$7-0.2*($P353))^2/('3. Detention'!$Z$7+0.8*($P353)),0)</f>
        <v>0.85220383993802906</v>
      </c>
      <c r="M353" s="24">
        <f>IF('3. Detention'!$AE$7&gt;0.2*($P353),('3. Detention'!$AE$7-0.2*($P353))^2/('3. Detention'!$AE$7+0.8*($P353)),0)</f>
        <v>2.3086988081957234</v>
      </c>
      <c r="N353" s="24">
        <f>IF('3. Detention'!$AJ$7&gt;0.2*($P353),('3. Detention'!$AJ$7-0.2*($P353))^2/('3. Detention'!$AJ$7+0.8*($P353)),0)</f>
        <v>4.8994774047436831</v>
      </c>
      <c r="O353" s="61">
        <f t="shared" si="10"/>
        <v>71.199999999999932</v>
      </c>
      <c r="P353" s="24">
        <f t="shared" si="9"/>
        <v>4.0449438202247325</v>
      </c>
    </row>
    <row r="354" spans="4:16" x14ac:dyDescent="0.3">
      <c r="D354" s="2">
        <v>354</v>
      </c>
      <c r="L354" s="24">
        <f>IF('3. Detention'!$Z$7&gt;0.2*($P354),('3. Detention'!$Z$7-0.2*($P354))^2/('3. Detention'!$Z$7+0.8*($P354)),0)</f>
        <v>0.85720557303665312</v>
      </c>
      <c r="M354" s="24">
        <f>IF('3. Detention'!$AE$7&gt;0.2*($P354),('3. Detention'!$AE$7-0.2*($P354))^2/('3. Detention'!$AE$7+0.8*($P354)),0)</f>
        <v>2.3171284726975574</v>
      </c>
      <c r="N354" s="24">
        <f>IF('3. Detention'!$AJ$7&gt;0.2*($P354),('3. Detention'!$AJ$7-0.2*($P354))^2/('3. Detention'!$AJ$7+0.8*($P354)),0)</f>
        <v>4.9112907346044024</v>
      </c>
      <c r="O354" s="61">
        <f t="shared" si="10"/>
        <v>71.299999999999926</v>
      </c>
      <c r="P354" s="24">
        <f t="shared" si="9"/>
        <v>4.0252454417952457</v>
      </c>
    </row>
    <row r="355" spans="4:16" x14ac:dyDescent="0.3">
      <c r="D355" s="2">
        <v>355</v>
      </c>
      <c r="L355" s="24">
        <f>IF('3. Detention'!$Z$7&gt;0.2*($P355),('3. Detention'!$Z$7-0.2*($P355))^2/('3. Detention'!$Z$7+0.8*($P355)),0)</f>
        <v>0.86222291065672207</v>
      </c>
      <c r="M355" s="24">
        <f>IF('3. Detention'!$AE$7&gt;0.2*($P355),('3. Detention'!$AE$7-0.2*($P355))^2/('3. Detention'!$AE$7+0.8*($P355)),0)</f>
        <v>2.3255695568010637</v>
      </c>
      <c r="N355" s="24">
        <f>IF('3. Detention'!$AJ$7&gt;0.2*($P355),('3. Detention'!$AJ$7-0.2*($P355))^2/('3. Detention'!$AJ$7+0.8*($P355)),0)</f>
        <v>4.9231057675291359</v>
      </c>
      <c r="O355" s="61">
        <f t="shared" si="10"/>
        <v>71.39999999999992</v>
      </c>
      <c r="P355" s="24">
        <f t="shared" si="9"/>
        <v>4.0056022408963745</v>
      </c>
    </row>
    <row r="356" spans="4:16" x14ac:dyDescent="0.3">
      <c r="D356" s="2">
        <v>356</v>
      </c>
      <c r="L356" s="24">
        <f>IF('3. Detention'!$Z$7&gt;0.2*($P356),('3. Detention'!$Z$7-0.2*($P356))^2/('3. Detention'!$Z$7+0.8*($P356)),0)</f>
        <v>0.86725588261156095</v>
      </c>
      <c r="M356" s="24">
        <f>IF('3. Detention'!$AE$7&gt;0.2*($P356),('3. Detention'!$AE$7-0.2*($P356))^2/('3. Detention'!$AE$7+0.8*($P356)),0)</f>
        <v>2.334022060886884</v>
      </c>
      <c r="N356" s="24">
        <f>IF('3. Detention'!$AJ$7&gt;0.2*($P356),('3. Detention'!$AJ$7-0.2*($P356))^2/('3. Detention'!$AJ$7+0.8*($P356)),0)</f>
        <v>4.9349224920728263</v>
      </c>
      <c r="O356" s="61">
        <f t="shared" si="10"/>
        <v>71.499999999999915</v>
      </c>
      <c r="P356" s="24">
        <f t="shared" si="9"/>
        <v>3.9860139860140027</v>
      </c>
    </row>
    <row r="357" spans="4:16" x14ac:dyDescent="0.3">
      <c r="D357" s="2">
        <v>357</v>
      </c>
      <c r="L357" s="24">
        <f>IF('3. Detention'!$Z$7&gt;0.2*($P357),('3. Detention'!$Z$7-0.2*($P357))^2/('3. Detention'!$Z$7+0.8*($P357)),0)</f>
        <v>0.87230451895716354</v>
      </c>
      <c r="M357" s="24">
        <f>IF('3. Detention'!$AE$7&gt;0.2*($P357),('3. Detention'!$AE$7-0.2*($P357))^2/('3. Detention'!$AE$7+0.8*($P357)),0)</f>
        <v>2.3424859854223437</v>
      </c>
      <c r="N357" s="24">
        <f>IF('3. Detention'!$AJ$7&gt;0.2*($P357),('3. Detention'!$AJ$7-0.2*($P357))^2/('3. Detention'!$AJ$7+0.8*($P357)),0)</f>
        <v>4.9467408968550579</v>
      </c>
      <c r="O357" s="61">
        <f t="shared" si="10"/>
        <v>71.599999999999909</v>
      </c>
      <c r="P357" s="24">
        <f t="shared" si="9"/>
        <v>3.9664804469273918</v>
      </c>
    </row>
    <row r="358" spans="4:16" x14ac:dyDescent="0.3">
      <c r="D358" s="2">
        <v>358</v>
      </c>
      <c r="L358" s="24">
        <f>IF('3. Detention'!$Z$7&gt;0.2*($P358),('3. Detention'!$Z$7-0.2*($P358))^2/('3. Detention'!$Z$7+0.8*($P358)),0)</f>
        <v>0.87736884999269882</v>
      </c>
      <c r="M358" s="24">
        <f>IF('3. Detention'!$AE$7&gt;0.2*($P358),('3. Detention'!$AE$7-0.2*($P358))^2/('3. Detention'!$AE$7+0.8*($P358)),0)</f>
        <v>2.3509613309610566</v>
      </c>
      <c r="N358" s="24">
        <f>IF('3. Detention'!$AJ$7&gt;0.2*($P358),('3. Detention'!$AJ$7-0.2*($P358))^2/('3. Detention'!$AJ$7+0.8*($P358)),0)</f>
        <v>4.9585609705596179</v>
      </c>
      <c r="O358" s="61">
        <f t="shared" si="10"/>
        <v>71.699999999999903</v>
      </c>
      <c r="P358" s="24">
        <f t="shared" si="9"/>
        <v>3.947001394700159</v>
      </c>
    </row>
    <row r="359" spans="4:16" x14ac:dyDescent="0.3">
      <c r="D359" s="2">
        <v>359</v>
      </c>
      <c r="L359" s="24">
        <f>IF('3. Detention'!$Z$7&gt;0.2*($P359),('3. Detention'!$Z$7-0.2*($P359))^2/('3. Detention'!$Z$7+0.8*($P359)),0)</f>
        <v>0.88244890626102956</v>
      </c>
      <c r="M359" s="24">
        <f>IF('3. Detention'!$AE$7&gt;0.2*($P359),('3. Detention'!$AE$7-0.2*($P359))^2/('3. Detention'!$AE$7+0.8*($P359)),0)</f>
        <v>2.3594480981425274</v>
      </c>
      <c r="N359" s="24">
        <f>IF('3. Detention'!$AJ$7&gt;0.2*($P359),('3. Detention'!$AJ$7-0.2*($P359))^2/('3. Detention'!$AJ$7+0.8*($P359)),0)</f>
        <v>4.9703827019340352</v>
      </c>
      <c r="O359" s="61">
        <f t="shared" si="10"/>
        <v>71.799999999999898</v>
      </c>
      <c r="P359" s="24">
        <f t="shared" si="9"/>
        <v>3.9275766016713298</v>
      </c>
    </row>
    <row r="360" spans="4:16" x14ac:dyDescent="0.3">
      <c r="D360" s="2">
        <v>360</v>
      </c>
      <c r="L360" s="24">
        <f>IF('3. Detention'!$Z$7&gt;0.2*($P360),('3. Detention'!$Z$7-0.2*($P360))^2/('3. Detention'!$Z$7+0.8*($P360)),0)</f>
        <v>0.88754471854923722</v>
      </c>
      <c r="M360" s="24">
        <f>IF('3. Detention'!$AE$7&gt;0.2*($P360),('3. Detention'!$AE$7-0.2*($P360))^2/('3. Detention'!$AE$7+0.8*($P360)),0)</f>
        <v>2.3679462876917579</v>
      </c>
      <c r="N360" s="24">
        <f>IF('3. Detention'!$AJ$7&gt;0.2*($P360),('3. Detention'!$AJ$7-0.2*($P360))^2/('3. Detention'!$AJ$7+0.8*($P360)),0)</f>
        <v>4.9822060797891519</v>
      </c>
      <c r="O360" s="61">
        <f t="shared" si="10"/>
        <v>71.899999999999892</v>
      </c>
      <c r="P360" s="24">
        <f t="shared" si="9"/>
        <v>3.908205841446474</v>
      </c>
    </row>
    <row r="361" spans="4:16" x14ac:dyDescent="0.3">
      <c r="D361" s="2">
        <v>361</v>
      </c>
      <c r="L361" s="24">
        <f>IF('3. Detention'!$Z$7&gt;0.2*($P361),('3. Detention'!$Z$7-0.2*($P361))^2/('3. Detention'!$Z$7+0.8*($P361)),0)</f>
        <v>0.89265631788915967</v>
      </c>
      <c r="M361" s="24">
        <f>IF('3. Detention'!$AE$7&gt;0.2*($P361),('3. Detention'!$AE$7-0.2*($P361))^2/('3. Detention'!$AE$7+0.8*($P361)),0)</f>
        <v>2.376455900418859</v>
      </c>
      <c r="N361" s="24">
        <f>IF('3. Detention'!$AJ$7&gt;0.2*($P361),('3. Detention'!$AJ$7-0.2*($P361))^2/('3. Detention'!$AJ$7+0.8*($P361)),0)</f>
        <v>4.9940310929986707</v>
      </c>
      <c r="O361" s="61">
        <f t="shared" si="10"/>
        <v>71.999999999999886</v>
      </c>
      <c r="P361" s="24">
        <f t="shared" ref="P361:P424" si="11">IF(O361&gt;0,1000/O361-10,1000)</f>
        <v>3.8888888888889106</v>
      </c>
    </row>
    <row r="362" spans="4:16" x14ac:dyDescent="0.3">
      <c r="D362" s="2">
        <v>362</v>
      </c>
      <c r="L362" s="24">
        <f>IF('3. Detention'!$Z$7&gt;0.2*($P362),('3. Detention'!$Z$7-0.2*($P362))^2/('3. Detention'!$Z$7+0.8*($P362)),0)</f>
        <v>0.897783735557938</v>
      </c>
      <c r="M362" s="24">
        <f>IF('3. Detention'!$AE$7&gt;0.2*($P362),('3. Detention'!$AE$7-0.2*($P362))^2/('3. Detention'!$AE$7+0.8*($P362)),0)</f>
        <v>2.3849769372186667</v>
      </c>
      <c r="N362" s="24">
        <f>IF('3. Detention'!$AJ$7&gt;0.2*($P362),('3. Detention'!$AJ$7-0.2*($P362))^2/('3. Detention'!$AJ$7+0.8*($P362)),0)</f>
        <v>5.0058577304987271</v>
      </c>
      <c r="O362" s="61">
        <f t="shared" si="10"/>
        <v>72.099999999999881</v>
      </c>
      <c r="P362" s="24">
        <f t="shared" si="11"/>
        <v>3.8696255201109793</v>
      </c>
    </row>
    <row r="363" spans="4:16" x14ac:dyDescent="0.3">
      <c r="D363" s="2">
        <v>363</v>
      </c>
      <c r="L363" s="24">
        <f>IF('3. Detention'!$Z$7&gt;0.2*($P363),('3. Detention'!$Z$7-0.2*($P363))^2/('3. Detention'!$Z$7+0.8*($P363)),0)</f>
        <v>0.90292700307857354</v>
      </c>
      <c r="M363" s="24">
        <f>IF('3. Detention'!$AE$7&gt;0.2*($P363),('3. Detention'!$AE$7-0.2*($P363))^2/('3. Detention'!$AE$7+0.8*($P363)),0)</f>
        <v>2.3935093990703575</v>
      </c>
      <c r="N363" s="24">
        <f>IF('3. Detention'!$AJ$7&gt;0.2*($P363),('3. Detention'!$AJ$7-0.2*($P363))^2/('3. Detention'!$AJ$7+0.8*($P363)),0)</f>
        <v>5.0176859812874479</v>
      </c>
      <c r="O363" s="61">
        <f t="shared" si="10"/>
        <v>72.199999999999875</v>
      </c>
      <c r="P363" s="24">
        <f t="shared" si="11"/>
        <v>3.850415512465398</v>
      </c>
    </row>
    <row r="364" spans="4:16" x14ac:dyDescent="0.3">
      <c r="D364" s="2">
        <v>364</v>
      </c>
      <c r="L364" s="24">
        <f>IF('3. Detention'!$Z$7&gt;0.2*($P364),('3. Detention'!$Z$7-0.2*($P364))^2/('3. Detention'!$Z$7+0.8*($P364)),0)</f>
        <v>0.90808615222049516</v>
      </c>
      <c r="M364" s="24">
        <f>IF('3. Detention'!$AE$7&gt;0.2*($P364),('3. Detention'!$AE$7-0.2*($P364))^2/('3. Detention'!$AE$7+0.8*($P364)),0)</f>
        <v>2.4020532870370772</v>
      </c>
      <c r="N364" s="24">
        <f>IF('3. Detention'!$AJ$7&gt;0.2*($P364),('3. Detention'!$AJ$7-0.2*($P364))^2/('3. Detention'!$AJ$7+0.8*($P364)),0)</f>
        <v>5.0295158344245356</v>
      </c>
      <c r="O364" s="61">
        <f t="shared" si="10"/>
        <v>72.299999999999869</v>
      </c>
      <c r="P364" s="24">
        <f t="shared" si="11"/>
        <v>3.8312586445366783</v>
      </c>
    </row>
    <row r="365" spans="4:16" x14ac:dyDescent="0.3">
      <c r="D365" s="2">
        <v>365</v>
      </c>
      <c r="L365" s="24">
        <f>IF('3. Detention'!$Z$7&gt;0.2*($P365),('3. Detention'!$Z$7-0.2*($P365))^2/('3. Detention'!$Z$7+0.8*($P365)),0)</f>
        <v>0.91326121500013524</v>
      </c>
      <c r="M365" s="24">
        <f>IF('3. Detention'!$AE$7&gt;0.2*($P365),('3. Detention'!$AE$7-0.2*($P365))^2/('3. Detention'!$AE$7+0.8*($P365)),0)</f>
        <v>2.4106086022655644</v>
      </c>
      <c r="N365" s="24">
        <f>IF('3. Detention'!$AJ$7&gt;0.2*($P365),('3. Detention'!$AJ$7-0.2*($P365))^2/('3. Detention'!$AJ$7+0.8*($P365)),0)</f>
        <v>5.041347279030834</v>
      </c>
      <c r="O365" s="61">
        <f t="shared" si="10"/>
        <v>72.399999999999864</v>
      </c>
      <c r="P365" s="24">
        <f t="shared" si="11"/>
        <v>3.8121546961326231</v>
      </c>
    </row>
    <row r="366" spans="4:16" x14ac:dyDescent="0.3">
      <c r="D366" s="2">
        <v>366</v>
      </c>
      <c r="L366" s="24">
        <f>IF('3. Detention'!$Z$7&gt;0.2*($P366),('3. Detention'!$Z$7-0.2*($P366))^2/('3. Detention'!$Z$7+0.8*($P366)),0)</f>
        <v>0.91845222368151702</v>
      </c>
      <c r="M366" s="24">
        <f>IF('3. Detention'!$AE$7&gt;0.2*($P366),('3. Detention'!$AE$7-0.2*($P366))^2/('3. Detention'!$AE$7+0.8*($P366)),0)</f>
        <v>2.4191753459857761</v>
      </c>
      <c r="N366" s="24">
        <f>IF('3. Detention'!$AJ$7&gt;0.2*($P366),('3. Detention'!$AJ$7-0.2*($P366))^2/('3. Detention'!$AJ$7+0.8*($P366)),0)</f>
        <v>5.0531803042879044</v>
      </c>
      <c r="O366" s="61">
        <f t="shared" si="10"/>
        <v>72.499999999999858</v>
      </c>
      <c r="P366" s="24">
        <f t="shared" si="11"/>
        <v>3.7931034482758896</v>
      </c>
    </row>
    <row r="367" spans="4:16" x14ac:dyDescent="0.3">
      <c r="D367" s="2">
        <v>367</v>
      </c>
      <c r="L367" s="24">
        <f>IF('3. Detention'!$Z$7&gt;0.2*($P367),('3. Detention'!$Z$7-0.2*($P367))^2/('3. Detention'!$Z$7+0.8*($P367)),0)</f>
        <v>0.92365921077685198</v>
      </c>
      <c r="M367" s="24">
        <f>IF('3. Detention'!$AE$7&gt;0.2*($P367),('3. Detention'!$AE$7-0.2*($P367))^2/('3. Detention'!$AE$7+0.8*($P367)),0)</f>
        <v>2.427753519510528</v>
      </c>
      <c r="N367" s="24">
        <f>IF('3. Detention'!$AJ$7&gt;0.2*($P367),('3. Detention'!$AJ$7-0.2*($P367))^2/('3. Detention'!$AJ$7+0.8*($P367)),0)</f>
        <v>5.0650148994376138</v>
      </c>
      <c r="O367" s="61">
        <f t="shared" si="10"/>
        <v>72.599999999999852</v>
      </c>
      <c r="P367" s="24">
        <f t="shared" si="11"/>
        <v>3.7741046831956204</v>
      </c>
    </row>
    <row r="368" spans="4:16" x14ac:dyDescent="0.3">
      <c r="D368" s="2">
        <v>368</v>
      </c>
      <c r="L368" s="24">
        <f>IF('3. Detention'!$Z$7&gt;0.2*($P368),('3. Detention'!$Z$7-0.2*($P368))^2/('3. Detention'!$Z$7+0.8*($P368)),0)</f>
        <v>0.92888220904714636</v>
      </c>
      <c r="M368" s="24">
        <f>IF('3. Detention'!$AE$7&gt;0.2*($P368),('3. Detention'!$AE$7-0.2*($P368))^2/('3. Detention'!$AE$7+0.8*($P368)),0)</f>
        <v>2.4363431242351292</v>
      </c>
      <c r="N368" s="24">
        <f>IF('3. Detention'!$AJ$7&gt;0.2*($P368),('3. Detention'!$AJ$7-0.2*($P368))^2/('3. Detention'!$AJ$7+0.8*($P368)),0)</f>
        <v>5.0768510537817173</v>
      </c>
      <c r="O368" s="61">
        <f t="shared" si="10"/>
        <v>72.699999999999847</v>
      </c>
      <c r="P368" s="24">
        <f t="shared" si="11"/>
        <v>3.7551581843191482</v>
      </c>
    </row>
    <row r="369" spans="4:16" x14ac:dyDescent="0.3">
      <c r="D369" s="2">
        <v>369</v>
      </c>
      <c r="L369" s="24">
        <f>IF('3. Detention'!$Z$7&gt;0.2*($P369),('3. Detention'!$Z$7-0.2*($P369))^2/('3. Detention'!$Z$7+0.8*($P369)),0)</f>
        <v>0.93412125150281911</v>
      </c>
      <c r="M369" s="24">
        <f>IF('3. Detention'!$AE$7&gt;0.2*($P369),('3. Detention'!$AE$7-0.2*($P369))^2/('3. Detention'!$AE$7+0.8*($P369)),0)</f>
        <v>2.4449441616370207</v>
      </c>
      <c r="N369" s="24">
        <f>IF('3. Detention'!$AJ$7&gt;0.2*($P369),('3. Detention'!$AJ$7-0.2*($P369))^2/('3. Detention'!$AJ$7+0.8*($P369)),0)</f>
        <v>5.0886887566814432</v>
      </c>
      <c r="O369" s="61">
        <f t="shared" si="10"/>
        <v>72.799999999999841</v>
      </c>
      <c r="P369" s="24">
        <f t="shared" si="11"/>
        <v>3.7362637362637656</v>
      </c>
    </row>
    <row r="370" spans="4:16" x14ac:dyDescent="0.3">
      <c r="D370" s="2">
        <v>370</v>
      </c>
      <c r="L370" s="24">
        <f>IF('3. Detention'!$Z$7&gt;0.2*($P370),('3. Detention'!$Z$7-0.2*($P370))^2/('3. Detention'!$Z$7+0.8*($P370)),0)</f>
        <v>0.93937637140432795</v>
      </c>
      <c r="M370" s="24">
        <f>IF('3. Detention'!$AE$7&gt;0.2*($P370),('3. Detention'!$AE$7-0.2*($P370))^2/('3. Detention'!$AE$7+0.8*($P370)),0)</f>
        <v>2.4535566332754244</v>
      </c>
      <c r="N370" s="24">
        <f>IF('3. Detention'!$AJ$7&gt;0.2*($P370),('3. Detention'!$AJ$7-0.2*($P370))^2/('3. Detention'!$AJ$7+0.8*($P370)),0)</f>
        <v>5.1005279975570943</v>
      </c>
      <c r="O370" s="61">
        <f t="shared" si="10"/>
        <v>72.899999999999835</v>
      </c>
      <c r="P370" s="24">
        <f t="shared" si="11"/>
        <v>3.7174211248285634</v>
      </c>
    </row>
    <row r="371" spans="4:16" x14ac:dyDescent="0.3">
      <c r="D371" s="2">
        <v>371</v>
      </c>
      <c r="L371" s="24">
        <f>IF('3. Detention'!$Z$7&gt;0.2*($P371),('3. Detention'!$Z$7-0.2*($P371))^2/('3. Detention'!$Z$7+0.8*($P371)),0)</f>
        <v>0.94464760226280953</v>
      </c>
      <c r="M371" s="24">
        <f>IF('3. Detention'!$AE$7&gt;0.2*($P371),('3. Detention'!$AE$7-0.2*($P371))^2/('3. Detention'!$AE$7+0.8*($P371)),0)</f>
        <v>2.4621805407909854</v>
      </c>
      <c r="N371" s="24">
        <f>IF('3. Detention'!$AJ$7&gt;0.2*($P371),('3. Detention'!$AJ$7-0.2*($P371))^2/('3. Detention'!$AJ$7+0.8*($P371)),0)</f>
        <v>5.1123687658876298</v>
      </c>
      <c r="O371" s="61">
        <f t="shared" si="10"/>
        <v>72.999999999999829</v>
      </c>
      <c r="P371" s="24">
        <f t="shared" si="11"/>
        <v>3.698630136986333</v>
      </c>
    </row>
    <row r="372" spans="4:16" x14ac:dyDescent="0.3">
      <c r="D372" s="2">
        <v>372</v>
      </c>
      <c r="L372" s="24">
        <f>IF('3. Detention'!$Z$7&gt;0.2*($P372),('3. Detention'!$Z$7-0.2*($P372))^2/('3. Detention'!$Z$7+0.8*($P372)),0)</f>
        <v>0.94993497784072389</v>
      </c>
      <c r="M372" s="24">
        <f>IF('3. Detention'!$AE$7&gt;0.2*($P372),('3. Detention'!$AE$7-0.2*($P372))^2/('3. Detention'!$AE$7+0.8*($P372)),0)</f>
        <v>2.4708158859054308</v>
      </c>
      <c r="N372" s="24">
        <f>IF('3. Detention'!$AJ$7&gt;0.2*($P372),('3. Detention'!$AJ$7-0.2*($P372))^2/('3. Detention'!$AJ$7+0.8*($P372)),0)</f>
        <v>5.1242110512102785</v>
      </c>
      <c r="O372" s="61">
        <f t="shared" si="10"/>
        <v>73.099999999999824</v>
      </c>
      <c r="P372" s="24">
        <f t="shared" si="11"/>
        <v>3.6798905608755454</v>
      </c>
    </row>
    <row r="373" spans="4:16" x14ac:dyDescent="0.3">
      <c r="D373" s="2">
        <v>373</v>
      </c>
      <c r="L373" s="24">
        <f>IF('3. Detention'!$Z$7&gt;0.2*($P373),('3. Detention'!$Z$7-0.2*($P373))^2/('3. Detention'!$Z$7+0.8*($P373)),0)</f>
        <v>0.9552385321525132</v>
      </c>
      <c r="M373" s="24">
        <f>IF('3. Detention'!$AE$7&gt;0.2*($P373),('3. Detention'!$AE$7-0.2*($P373))^2/('3. Detention'!$AE$7+0.8*($P373)),0)</f>
        <v>2.4794626704212153</v>
      </c>
      <c r="N373" s="24">
        <f>IF('3. Detention'!$AJ$7&gt;0.2*($P373),('3. Detention'!$AJ$7-0.2*($P373))^2/('3. Detention'!$AJ$7+0.8*($P373)),0)</f>
        <v>5.1360548431201289</v>
      </c>
      <c r="O373" s="61">
        <f t="shared" si="10"/>
        <v>73.199999999999818</v>
      </c>
      <c r="P373" s="24">
        <f t="shared" si="11"/>
        <v>3.6612021857923835</v>
      </c>
    </row>
    <row r="374" spans="4:16" x14ac:dyDescent="0.3">
      <c r="D374" s="2">
        <v>374</v>
      </c>
      <c r="L374" s="24">
        <f>IF('3. Detention'!$Z$7&gt;0.2*($P374),('3. Detention'!$Z$7-0.2*($P374))^2/('3. Detention'!$Z$7+0.8*($P374)),0)</f>
        <v>0.96055829946527183</v>
      </c>
      <c r="M374" s="24">
        <f>IF('3. Detention'!$AE$7&gt;0.2*($P374),('3. Detention'!$AE$7-0.2*($P374))^2/('3. Detention'!$AE$7+0.8*($P374)),0)</f>
        <v>2.4881208962211865</v>
      </c>
      <c r="N374" s="24">
        <f>IF('3. Detention'!$AJ$7&gt;0.2*($P374),('3. Detention'!$AJ$7-0.2*($P374))^2/('3. Detention'!$AJ$7+0.8*($P374)),0)</f>
        <v>5.1479001312697372</v>
      </c>
      <c r="O374" s="61">
        <f t="shared" si="10"/>
        <v>73.299999999999812</v>
      </c>
      <c r="P374" s="24">
        <f t="shared" si="11"/>
        <v>3.6425648021828447</v>
      </c>
    </row>
    <row r="375" spans="4:16" x14ac:dyDescent="0.3">
      <c r="D375" s="2">
        <v>375</v>
      </c>
      <c r="L375" s="24">
        <f>IF('3. Detention'!$Z$7&gt;0.2*($P375),('3. Detention'!$Z$7-0.2*($P375))^2/('3. Detention'!$Z$7+0.8*($P375)),0)</f>
        <v>0.96589431429942219</v>
      </c>
      <c r="M375" s="24">
        <f>IF('3. Detention'!$AE$7&gt;0.2*($P375),('3. Detention'!$AE$7-0.2*($P375))^2/('3. Detention'!$AE$7+0.8*($P375)),0)</f>
        <v>2.4967905652682423</v>
      </c>
      <c r="N375" s="24">
        <f>IF('3. Detention'!$AJ$7&gt;0.2*($P375),('3. Detention'!$AJ$7-0.2*($P375))^2/('3. Detention'!$AJ$7+0.8*($P375)),0)</f>
        <v>5.1597469053687428</v>
      </c>
      <c r="O375" s="61">
        <f t="shared" si="10"/>
        <v>73.399999999999807</v>
      </c>
      <c r="P375" s="24">
        <f t="shared" si="11"/>
        <v>3.6239782016349125</v>
      </c>
    </row>
    <row r="376" spans="4:16" x14ac:dyDescent="0.3">
      <c r="D376" s="2">
        <v>376</v>
      </c>
      <c r="L376" s="24">
        <f>IF('3. Detention'!$Z$7&gt;0.2*($P376),('3. Detention'!$Z$7-0.2*($P376))^2/('3. Detention'!$Z$7+0.8*($P376)),0)</f>
        <v>0.97124661142940261</v>
      </c>
      <c r="M376" s="24">
        <f>IF('3. Detention'!$AE$7&gt;0.2*($P376),('3. Detention'!$AE$7-0.2*($P376))^2/('3. Detention'!$AE$7+0.8*($P376)),0)</f>
        <v>2.5054716796049994</v>
      </c>
      <c r="N376" s="24">
        <f>IF('3. Detention'!$AJ$7&gt;0.2*($P376),('3. Detention'!$AJ$7-0.2*($P376))^2/('3. Detention'!$AJ$7+0.8*($P376)),0)</f>
        <v>5.1715951551834687</v>
      </c>
      <c r="O376" s="61">
        <f t="shared" si="10"/>
        <v>73.499999999999801</v>
      </c>
      <c r="P376" s="24">
        <f t="shared" si="11"/>
        <v>3.6054421768707847</v>
      </c>
    </row>
    <row r="377" spans="4:16" x14ac:dyDescent="0.3">
      <c r="D377" s="2">
        <v>377</v>
      </c>
      <c r="L377" s="24">
        <f>IF('3. Detention'!$Z$7&gt;0.2*($P377),('3. Detention'!$Z$7-0.2*($P377))^2/('3. Detention'!$Z$7+0.8*($P377)),0)</f>
        <v>0.97661522588436978</v>
      </c>
      <c r="M377" s="24">
        <f>IF('3. Detention'!$AE$7&gt;0.2*($P377),('3. Detention'!$AE$7-0.2*($P377))^2/('3. Detention'!$AE$7+0.8*($P377)),0)</f>
        <v>2.5141642413534595</v>
      </c>
      <c r="N377" s="24">
        <f>IF('3. Detention'!$AJ$7&gt;0.2*($P377),('3. Detention'!$AJ$7-0.2*($P377))^2/('3. Detention'!$AJ$7+0.8*($P377)),0)</f>
        <v>5.1834448705365483</v>
      </c>
      <c r="O377" s="61">
        <f t="shared" si="10"/>
        <v>73.599999999999795</v>
      </c>
      <c r="P377" s="24">
        <f t="shared" si="11"/>
        <v>3.5869565217391681</v>
      </c>
    </row>
    <row r="378" spans="4:16" x14ac:dyDescent="0.3">
      <c r="D378" s="2">
        <v>378</v>
      </c>
      <c r="L378" s="24">
        <f>IF('3. Detention'!$Z$7&gt;0.2*($P378),('3. Detention'!$Z$7-0.2*($P378))^2/('3. Detention'!$Z$7+0.8*($P378)),0)</f>
        <v>0.98200019294890384</v>
      </c>
      <c r="M378" s="24">
        <f>IF('3. Detention'!$AE$7&gt;0.2*($P378),('3. Detention'!$AE$7-0.2*($P378))^2/('3. Detention'!$AE$7+0.8*($P378)),0)</f>
        <v>2.5228682527146766</v>
      </c>
      <c r="N378" s="24">
        <f>IF('3. Detention'!$AJ$7&gt;0.2*($P378),('3. Detention'!$AJ$7-0.2*($P378))^2/('3. Detention'!$AJ$7+0.8*($P378)),0)</f>
        <v>5.1952960413065297</v>
      </c>
      <c r="O378" s="61">
        <f t="shared" si="10"/>
        <v>73.69999999999979</v>
      </c>
      <c r="P378" s="24">
        <f t="shared" si="11"/>
        <v>3.5685210312076379</v>
      </c>
    </row>
    <row r="379" spans="4:16" x14ac:dyDescent="0.3">
      <c r="D379" s="2">
        <v>379</v>
      </c>
      <c r="L379" s="24">
        <f>IF('3. Detention'!$Z$7&gt;0.2*($P379),('3. Detention'!$Z$7-0.2*($P379))^2/('3. Detention'!$Z$7+0.8*($P379)),0)</f>
        <v>0.98740154816373027</v>
      </c>
      <c r="M379" s="24">
        <f>IF('3. Detention'!$AE$7&gt;0.2*($P379),('3. Detention'!$AE$7-0.2*($P379))^2/('3. Detention'!$AE$7+0.8*($P379)),0)</f>
        <v>2.5315837159684436</v>
      </c>
      <c r="N379" s="24">
        <f>IF('3. Detention'!$AJ$7&gt;0.2*($P379),('3. Detention'!$AJ$7-0.2*($P379))^2/('3. Detention'!$AJ$7+0.8*($P379)),0)</f>
        <v>5.2071486574275117</v>
      </c>
      <c r="O379" s="61">
        <f t="shared" si="10"/>
        <v>73.799999999999784</v>
      </c>
      <c r="P379" s="24">
        <f t="shared" si="11"/>
        <v>3.5501355013550526</v>
      </c>
    </row>
    <row r="380" spans="4:16" x14ac:dyDescent="0.3">
      <c r="D380" s="2">
        <v>380</v>
      </c>
      <c r="L380" s="24">
        <f>IF('3. Detention'!$Z$7&gt;0.2*($P380),('3. Detention'!$Z$7-0.2*($P380))^2/('3. Detention'!$Z$7+0.8*($P380)),0)</f>
        <v>0.99281932732644707</v>
      </c>
      <c r="M380" s="24">
        <f>IF('3. Detention'!$AE$7&gt;0.2*($P380),('3. Detention'!$AE$7-0.2*($P380))^2/('3. Detention'!$AE$7+0.8*($P380)),0)</f>
        <v>2.5403106334729531</v>
      </c>
      <c r="N380" s="24">
        <f>IF('3. Detention'!$AJ$7&gt;0.2*($P380),('3. Detention'!$AJ$7-0.2*($P380))^2/('3. Detention'!$AJ$7+0.8*($P380)),0)</f>
        <v>5.2190027088887492</v>
      </c>
      <c r="O380" s="61">
        <f t="shared" si="10"/>
        <v>73.899999999999778</v>
      </c>
      <c r="P380" s="24">
        <f t="shared" si="11"/>
        <v>3.531799729364046</v>
      </c>
    </row>
    <row r="381" spans="4:16" x14ac:dyDescent="0.3">
      <c r="D381" s="2">
        <v>381</v>
      </c>
      <c r="L381" s="24">
        <f>IF('3. Detention'!$Z$7&gt;0.2*($P381),('3. Detention'!$Z$7-0.2*($P381))^2/('3. Detention'!$Z$7+0.8*($P381)),0)</f>
        <v>0.99825356649226782</v>
      </c>
      <c r="M381" s="24">
        <f>IF('3. Detention'!$AE$7&gt;0.2*($P381),('3. Detention'!$AE$7-0.2*($P381))^2/('3. Detention'!$AE$7+0.8*($P381)),0)</f>
        <v>2.5490490076644972</v>
      </c>
      <c r="N381" s="24">
        <f>IF('3. Detention'!$AJ$7&gt;0.2*($P381),('3. Detention'!$AJ$7-0.2*($P381))^2/('3. Detention'!$AJ$7+0.8*($P381)),0)</f>
        <v>5.2308581857343048</v>
      </c>
      <c r="O381" s="61">
        <f t="shared" si="10"/>
        <v>73.999999999999773</v>
      </c>
      <c r="P381" s="24">
        <f t="shared" si="11"/>
        <v>3.5135135135135549</v>
      </c>
    </row>
    <row r="382" spans="4:16" x14ac:dyDescent="0.3">
      <c r="D382" s="2">
        <v>382</v>
      </c>
      <c r="L382" s="24">
        <f>IF('3. Detention'!$Z$7&gt;0.2*($P382),('3. Detention'!$Z$7-0.2*($P382))^2/('3. Detention'!$Z$7+0.8*($P382)),0)</f>
        <v>1.00370430197477</v>
      </c>
      <c r="M382" s="24">
        <f>IF('3. Detention'!$AE$7&gt;0.2*($P382),('3. Detention'!$AE$7-0.2*($P382))^2/('3. Detention'!$AE$7+0.8*($P382)),0)</f>
        <v>2.5577988410571346</v>
      </c>
      <c r="N382" s="24">
        <f>IF('3. Detention'!$AJ$7&gt;0.2*($P382),('3. Detention'!$AJ$7-0.2*($P382))^2/('3. Detention'!$AJ$7+0.8*($P382)),0)</f>
        <v>5.2427150780626528</v>
      </c>
      <c r="O382" s="61">
        <f t="shared" si="10"/>
        <v>74.099999999999767</v>
      </c>
      <c r="P382" s="24">
        <f t="shared" si="11"/>
        <v>3.4952766531714321</v>
      </c>
    </row>
    <row r="383" spans="4:16" x14ac:dyDescent="0.3">
      <c r="D383" s="2">
        <v>383</v>
      </c>
      <c r="L383" s="24">
        <f>IF('3. Detention'!$Z$7&gt;0.2*($P383),('3. Detention'!$Z$7-0.2*($P383))^2/('3. Detention'!$Z$7+0.8*($P383)),0)</f>
        <v>1.0091715703466564</v>
      </c>
      <c r="M383" s="24">
        <f>IF('3. Detention'!$AE$7&gt;0.2*($P383),('3. Detention'!$AE$7-0.2*($P383))^2/('3. Detention'!$AE$7+0.8*($P383)),0)</f>
        <v>2.5665601362423924</v>
      </c>
      <c r="N383" s="24">
        <f>IF('3. Detention'!$AJ$7&gt;0.2*($P383),('3. Detention'!$AJ$7-0.2*($P383))^2/('3. Detention'!$AJ$7+0.8*($P383)),0)</f>
        <v>5.2545733760263325</v>
      </c>
      <c r="O383" s="61">
        <f t="shared" si="10"/>
        <v>74.199999999999761</v>
      </c>
      <c r="P383" s="24">
        <f t="shared" si="11"/>
        <v>3.4770889487871059</v>
      </c>
    </row>
    <row r="384" spans="4:16" x14ac:dyDescent="0.3">
      <c r="D384" s="2">
        <v>384</v>
      </c>
      <c r="L384" s="24">
        <f>IF('3. Detention'!$Z$7&gt;0.2*($P384),('3. Detention'!$Z$7-0.2*($P384))^2/('3. Detention'!$Z$7+0.8*($P384)),0)</f>
        <v>1.014655408440527</v>
      </c>
      <c r="M384" s="24">
        <f>IF('3. Detention'!$AE$7&gt;0.2*($P384),('3. Detention'!$AE$7-0.2*($P384))^2/('3. Detention'!$AE$7+0.8*($P384)),0)</f>
        <v>2.575332895888947</v>
      </c>
      <c r="N384" s="24">
        <f>IF('3. Detention'!$AJ$7&gt;0.2*($P384),('3. Detention'!$AJ$7-0.2*($P384))^2/('3. Detention'!$AJ$7+0.8*($P384)),0)</f>
        <v>5.2664330698315771</v>
      </c>
      <c r="O384" s="61">
        <f t="shared" si="10"/>
        <v>74.299999999999756</v>
      </c>
      <c r="P384" s="24">
        <f t="shared" si="11"/>
        <v>3.4589502018842975</v>
      </c>
    </row>
    <row r="385" spans="4:16" x14ac:dyDescent="0.3">
      <c r="D385" s="2">
        <v>385</v>
      </c>
      <c r="L385" s="24">
        <f>IF('3. Detention'!$Z$7&gt;0.2*($P385),('3. Detention'!$Z$7-0.2*($P385))^2/('3. Detention'!$Z$7+0.8*($P385)),0)</f>
        <v>1.02015585334966</v>
      </c>
      <c r="M385" s="24">
        <f>IF('3. Detention'!$AE$7&gt;0.2*($P385),('3. Detention'!$AE$7-0.2*($P385))^2/('3. Detention'!$AE$7+0.8*($P385)),0)</f>
        <v>2.5841171227423212</v>
      </c>
      <c r="N385" s="24">
        <f>IF('3. Detention'!$AJ$7&gt;0.2*($P385),('3. Detention'!$AJ$7-0.2*($P385))^2/('3. Detention'!$AJ$7+0.8*($P385)),0)</f>
        <v>5.2782941497379436</v>
      </c>
      <c r="O385" s="61">
        <f t="shared" si="10"/>
        <v>74.39999999999975</v>
      </c>
      <c r="P385" s="24">
        <f t="shared" si="11"/>
        <v>3.4408602150538083</v>
      </c>
    </row>
    <row r="386" spans="4:16" x14ac:dyDescent="0.3">
      <c r="D386" s="2">
        <v>386</v>
      </c>
      <c r="L386" s="24">
        <f>IF('3. Detention'!$Z$7&gt;0.2*($P386),('3. Detention'!$Z$7-0.2*($P386))^2/('3. Detention'!$Z$7+0.8*($P386)),0)</f>
        <v>1.0256729424288038</v>
      </c>
      <c r="M386" s="24">
        <f>IF('3. Detention'!$AE$7&gt;0.2*($P386),('3. Detention'!$AE$7-0.2*($P386))^2/('3. Detention'!$AE$7+0.8*($P386)),0)</f>
        <v>2.5929128196245825</v>
      </c>
      <c r="N386" s="24">
        <f>IF('3. Detention'!$AJ$7&gt;0.2*($P386),('3. Detention'!$AJ$7-0.2*($P386))^2/('3. Detention'!$AJ$7+0.8*($P386)),0)</f>
        <v>5.2901566060579723</v>
      </c>
      <c r="O386" s="61">
        <f t="shared" si="10"/>
        <v>74.499999999999744</v>
      </c>
      <c r="P386" s="24">
        <f t="shared" si="11"/>
        <v>3.4228187919463551</v>
      </c>
    </row>
    <row r="387" spans="4:16" x14ac:dyDescent="0.3">
      <c r="D387" s="2">
        <v>387</v>
      </c>
      <c r="L387" s="24">
        <f>IF('3. Detention'!$Z$7&gt;0.2*($P387),('3. Detention'!$Z$7-0.2*($P387))^2/('3. Detention'!$Z$7+0.8*($P387)),0)</f>
        <v>1.0312067132949825</v>
      </c>
      <c r="M387" s="24">
        <f>IF('3. Detention'!$AE$7&gt;0.2*($P387),('3. Detention'!$AE$7-0.2*($P387))^2/('3. Detention'!$AE$7+0.8*($P387)),0)</f>
        <v>2.601719989434041</v>
      </c>
      <c r="N387" s="24">
        <f>IF('3. Detention'!$AJ$7&gt;0.2*($P387),('3. Detention'!$AJ$7-0.2*($P387))^2/('3. Detention'!$AJ$7+0.8*($P387)),0)</f>
        <v>5.3020204291568227</v>
      </c>
      <c r="O387" s="61">
        <f t="shared" si="10"/>
        <v>74.599999999999739</v>
      </c>
      <c r="P387" s="24">
        <f t="shared" si="11"/>
        <v>3.4048257372654618</v>
      </c>
    </row>
    <row r="388" spans="4:16" x14ac:dyDescent="0.3">
      <c r="D388" s="2">
        <v>388</v>
      </c>
      <c r="L388" s="24">
        <f>IF('3. Detention'!$Z$7&gt;0.2*($P388),('3. Detention'!$Z$7-0.2*($P388))^2/('3. Detention'!$Z$7+0.8*($P388)),0)</f>
        <v>1.0367572038283051</v>
      </c>
      <c r="M388" s="24">
        <f>IF('3. Detention'!$AE$7&gt;0.2*($P388),('3. Detention'!$AE$7-0.2*($P388))^2/('3. Detention'!$AE$7+0.8*($P388)),0)</f>
        <v>2.6105386351449487</v>
      </c>
      <c r="N388" s="24">
        <f>IF('3. Detention'!$AJ$7&gt;0.2*($P388),('3. Detention'!$AJ$7-0.2*($P388))^2/('3. Detention'!$AJ$7+0.8*($P388)),0)</f>
        <v>5.313885609451912</v>
      </c>
      <c r="O388" s="61">
        <f t="shared" si="10"/>
        <v>74.699999999999733</v>
      </c>
      <c r="P388" s="24">
        <f t="shared" si="11"/>
        <v>3.3868808567604223</v>
      </c>
    </row>
    <row r="389" spans="4:16" x14ac:dyDescent="0.3">
      <c r="D389" s="2">
        <v>389</v>
      </c>
      <c r="L389" s="24">
        <f>IF('3. Detention'!$Z$7&gt;0.2*($P389),('3. Detention'!$Z$7-0.2*($P389))^2/('3. Detention'!$Z$7+0.8*($P389)),0)</f>
        <v>1.0423244521727932</v>
      </c>
      <c r="M389" s="24">
        <f>IF('3. Detention'!$AE$7&gt;0.2*($P389),('3. Detention'!$AE$7-0.2*($P389))^2/('3. Detention'!$AE$7+0.8*($P389)),0)</f>
        <v>2.6193687598072142</v>
      </c>
      <c r="N389" s="24">
        <f>IF('3. Detention'!$AJ$7&gt;0.2*($P389),('3. Detention'!$AJ$7-0.2*($P389))^2/('3. Detention'!$AJ$7+0.8*($P389)),0)</f>
        <v>5.3257521374125822</v>
      </c>
      <c r="O389" s="61">
        <f t="shared" si="10"/>
        <v>74.799999999999727</v>
      </c>
      <c r="P389" s="24">
        <f t="shared" si="11"/>
        <v>3.3689839572192994</v>
      </c>
    </row>
    <row r="390" spans="4:16" x14ac:dyDescent="0.3">
      <c r="D390" s="2">
        <v>390</v>
      </c>
      <c r="L390" s="24">
        <f>IF('3. Detention'!$Z$7&gt;0.2*($P390),('3. Detention'!$Z$7-0.2*($P390))^2/('3. Detention'!$Z$7+0.8*($P390)),0)</f>
        <v>1.0479084967372141</v>
      </c>
      <c r="M390" s="24">
        <f>IF('3. Detention'!$AE$7&gt;0.2*($P390),('3. Detention'!$AE$7-0.2*($P390))^2/('3. Detention'!$AE$7+0.8*($P390)),0)</f>
        <v>2.6282103665461043</v>
      </c>
      <c r="N390" s="24">
        <f>IF('3. Detention'!$AJ$7&gt;0.2*($P390),('3. Detention'!$AJ$7-0.2*($P390))^2/('3. Detention'!$AJ$7+0.8*($P390)),0)</f>
        <v>5.3376200035597483</v>
      </c>
      <c r="O390" s="61">
        <f t="shared" si="10"/>
        <v>74.899999999999721</v>
      </c>
      <c r="P390" s="24">
        <f t="shared" si="11"/>
        <v>3.3511348464619992</v>
      </c>
    </row>
    <row r="391" spans="4:16" x14ac:dyDescent="0.3">
      <c r="D391" s="2">
        <v>391</v>
      </c>
      <c r="L391" s="24">
        <f>IF('3. Detention'!$Z$7&gt;0.2*($P391),('3. Detention'!$Z$7-0.2*($P391))^2/('3. Detention'!$Z$7+0.8*($P391)),0)</f>
        <v>1.0535093761959275</v>
      </c>
      <c r="M391" s="24">
        <f>IF('3. Detention'!$AE$7&gt;0.2*($P391),('3. Detention'!$AE$7-0.2*($P391))^2/('3. Detention'!$AE$7+0.8*($P391)),0)</f>
        <v>2.6370634585619563</v>
      </c>
      <c r="N391" s="24">
        <f>IF('3. Detention'!$AJ$7&gt;0.2*($P391),('3. Detention'!$AJ$7-0.2*($P391))^2/('3. Detention'!$AJ$7+0.8*($P391)),0)</f>
        <v>5.3494891984655428</v>
      </c>
      <c r="O391" s="61">
        <f t="shared" si="10"/>
        <v>74.999999999999716</v>
      </c>
      <c r="P391" s="24">
        <f t="shared" si="11"/>
        <v>3.3333333333333837</v>
      </c>
    </row>
    <row r="392" spans="4:16" x14ac:dyDescent="0.3">
      <c r="D392" s="2">
        <v>392</v>
      </c>
      <c r="L392" s="24">
        <f>IF('3. Detention'!$Z$7&gt;0.2*($P392),('3. Detention'!$Z$7-0.2*($P392))^2/('3. Detention'!$Z$7+0.8*($P392)),0)</f>
        <v>1.0591271294897382</v>
      </c>
      <c r="M392" s="24">
        <f>IF('3. Detention'!$AE$7&gt;0.2*($P392),('3. Detention'!$AE$7-0.2*($P392))^2/('3. Detention'!$AE$7+0.8*($P392)),0)</f>
        <v>2.6459280391298945</v>
      </c>
      <c r="N392" s="24">
        <f>IF('3. Detention'!$AJ$7&gt;0.2*($P392),('3. Detention'!$AJ$7-0.2*($P392))^2/('3. Detention'!$AJ$7+0.8*($P392)),0)</f>
        <v>5.3613597127529911</v>
      </c>
      <c r="O392" s="61">
        <f t="shared" si="10"/>
        <v>75.09999999999971</v>
      </c>
      <c r="P392" s="24">
        <f t="shared" si="11"/>
        <v>3.3155792276964569</v>
      </c>
    </row>
    <row r="393" spans="4:16" x14ac:dyDescent="0.3">
      <c r="D393" s="2">
        <v>393</v>
      </c>
      <c r="L393" s="24">
        <f>IF('3. Detention'!$Z$7&gt;0.2*($P393),('3. Detention'!$Z$7-0.2*($P393))^2/('3. Detention'!$Z$7+0.8*($P393)),0)</f>
        <v>1.0647617958267681</v>
      </c>
      <c r="M393" s="24">
        <f>IF('3. Detention'!$AE$7&gt;0.2*($P393),('3. Detention'!$AE$7-0.2*($P393))^2/('3. Detention'!$AE$7+0.8*($P393)),0)</f>
        <v>2.6548041115995478</v>
      </c>
      <c r="N393" s="24">
        <f>IF('3. Detention'!$AJ$7&gt;0.2*($P393),('3. Detention'!$AJ$7-0.2*($P393))^2/('3. Detention'!$AJ$7+0.8*($P393)),0)</f>
        <v>5.3732315370956627</v>
      </c>
      <c r="O393" s="61">
        <f t="shared" si="10"/>
        <v>75.199999999999704</v>
      </c>
      <c r="P393" s="24">
        <f t="shared" si="11"/>
        <v>3.2978723404255845</v>
      </c>
    </row>
    <row r="394" spans="4:16" x14ac:dyDescent="0.3">
      <c r="D394" s="2">
        <v>394</v>
      </c>
      <c r="L394" s="24">
        <f>IF('3. Detention'!$Z$7&gt;0.2*($P394),('3. Detention'!$Z$7-0.2*($P394))^2/('3. Detention'!$Z$7+0.8*($P394)),0)</f>
        <v>1.0704134146833297</v>
      </c>
      <c r="M394" s="24">
        <f>IF('3. Detention'!$AE$7&gt;0.2*($P394),('3. Detention'!$AE$7-0.2*($P394))^2/('3. Detention'!$AE$7+0.8*($P394)),0)</f>
        <v>2.6636916793947663</v>
      </c>
      <c r="N394" s="24">
        <f>IF('3. Detention'!$AJ$7&gt;0.2*($P394),('3. Detention'!$AJ$7-0.2*($P394))^2/('3. Detention'!$AJ$7+0.8*($P394)),0)</f>
        <v>5.385104662217338</v>
      </c>
      <c r="O394" s="61">
        <f t="shared" si="10"/>
        <v>75.299999999999699</v>
      </c>
      <c r="P394" s="24">
        <f t="shared" si="11"/>
        <v>3.2802124833997883</v>
      </c>
    </row>
    <row r="395" spans="4:16" x14ac:dyDescent="0.3">
      <c r="D395" s="2">
        <v>395</v>
      </c>
      <c r="L395" s="24">
        <f>IF('3. Detention'!$Z$7&gt;0.2*($P395),('3. Detention'!$Z$7-0.2*($P395))^2/('3. Detention'!$Z$7+0.8*($P395)),0)</f>
        <v>1.0760820258048169</v>
      </c>
      <c r="M395" s="24">
        <f>IF('3. Detention'!$AE$7&gt;0.2*($P395),('3. Detention'!$AE$7-0.2*($P395))^2/('3. Detention'!$AE$7+0.8*($P395)),0)</f>
        <v>2.672590746013352</v>
      </c>
      <c r="N395" s="24">
        <f>IF('3. Detention'!$AJ$7&gt;0.2*($P395),('3. Detention'!$AJ$7-0.2*($P395))^2/('3. Detention'!$AJ$7+0.8*($P395)),0)</f>
        <v>5.3969790788916798</v>
      </c>
      <c r="O395" s="61">
        <f t="shared" si="10"/>
        <v>75.399999999999693</v>
      </c>
      <c r="P395" s="24">
        <f t="shared" si="11"/>
        <v>3.2625994694960756</v>
      </c>
    </row>
    <row r="396" spans="4:16" x14ac:dyDescent="0.3">
      <c r="D396" s="2">
        <v>396</v>
      </c>
      <c r="L396" s="24">
        <f>IF('3. Detention'!$Z$7&gt;0.2*($P396),('3. Detention'!$Z$7-0.2*($P396))^2/('3. Detention'!$Z$7+0.8*($P396)),0)</f>
        <v>1.0817676692066027</v>
      </c>
      <c r="M396" s="24">
        <f>IF('3. Detention'!$AE$7&gt;0.2*($P396),('3. Detention'!$AE$7-0.2*($P396))^2/('3. Detention'!$AE$7+0.8*($P396)),0)</f>
        <v>2.6815013150267739</v>
      </c>
      <c r="N396" s="24">
        <f>IF('3. Detention'!$AJ$7&gt;0.2*($P396),('3. Detention'!$AJ$7-0.2*($P396))^2/('3. Detention'!$AJ$7+0.8*($P396)),0)</f>
        <v>5.4088547779418912</v>
      </c>
      <c r="O396" s="61">
        <f t="shared" si="10"/>
        <v>75.499999999999687</v>
      </c>
      <c r="P396" s="24">
        <f t="shared" si="11"/>
        <v>3.2450331125828367</v>
      </c>
    </row>
    <row r="397" spans="4:16" x14ac:dyDescent="0.3">
      <c r="D397" s="2">
        <v>397</v>
      </c>
      <c r="L397" s="24">
        <f>IF('3. Detention'!$Z$7&gt;0.2*($P397),('3. Detention'!$Z$7-0.2*($P397))^2/('3. Detention'!$Z$7+0.8*($P397)),0)</f>
        <v>1.0874703851749514</v>
      </c>
      <c r="M397" s="24">
        <f>IF('3. Detention'!$AE$7&gt;0.2*($P397),('3. Detention'!$AE$7-0.2*($P397))^2/('3. Detention'!$AE$7+0.8*($P397)),0)</f>
        <v>2.6904233900799079</v>
      </c>
      <c r="N397" s="24">
        <f>IF('3. Detention'!$AJ$7&gt;0.2*($P397),('3. Detention'!$AJ$7-0.2*($P397))^2/('3. Detention'!$AJ$7+0.8*($P397)),0)</f>
        <v>5.4207317502403987</v>
      </c>
      <c r="O397" s="61">
        <f t="shared" si="10"/>
        <v>75.599999999999682</v>
      </c>
      <c r="P397" s="24">
        <f t="shared" si="11"/>
        <v>3.227513227513283</v>
      </c>
    </row>
    <row r="398" spans="4:16" x14ac:dyDescent="0.3">
      <c r="D398" s="2">
        <v>398</v>
      </c>
      <c r="L398" s="24">
        <f>IF('3. Detention'!$Z$7&gt;0.2*($P398),('3. Detention'!$Z$7-0.2*($P398))^2/('3. Detention'!$Z$7+0.8*($P398)),0)</f>
        <v>1.0931902142679379</v>
      </c>
      <c r="M398" s="24">
        <f>IF('3. Detention'!$AE$7&gt;0.2*($P398),('3. Detention'!$AE$7-0.2*($P398))^2/('3. Detention'!$AE$7+0.8*($P398)),0)</f>
        <v>2.6993569748907582</v>
      </c>
      <c r="N398" s="24">
        <f>IF('3. Detention'!$AJ$7&gt;0.2*($P398),('3. Detention'!$AJ$7-0.2*($P398))^2/('3. Detention'!$AJ$7+0.8*($P398)),0)</f>
        <v>5.432609986708524</v>
      </c>
      <c r="O398" s="61">
        <f t="shared" si="10"/>
        <v>75.699999999999676</v>
      </c>
      <c r="P398" s="24">
        <f t="shared" si="11"/>
        <v>3.2100396301189473</v>
      </c>
    </row>
    <row r="399" spans="4:16" x14ac:dyDescent="0.3">
      <c r="D399" s="2">
        <v>399</v>
      </c>
      <c r="L399" s="24">
        <f>IF('3. Detention'!$Z$7&gt;0.2*($P399),('3. Detention'!$Z$7-0.2*($P399))^2/('3. Detention'!$Z$7+0.8*($P399)),0)</f>
        <v>1.0989271973163826</v>
      </c>
      <c r="M399" s="24">
        <f>IF('3. Detention'!$AE$7&gt;0.2*($P399),('3. Detention'!$AE$7-0.2*($P399))^2/('3. Detention'!$AE$7+0.8*($P399)),0)</f>
        <v>2.7083020732502017</v>
      </c>
      <c r="N399" s="24">
        <f>IF('3. Detention'!$AJ$7&gt;0.2*($P399),('3. Detention'!$AJ$7-0.2*($P399))^2/('3. Detention'!$AJ$7+0.8*($P399)),0)</f>
        <v>5.4444894783161626</v>
      </c>
      <c r="O399" s="61">
        <f t="shared" si="10"/>
        <v>75.79999999999967</v>
      </c>
      <c r="P399" s="24">
        <f t="shared" si="11"/>
        <v>3.1926121372032235</v>
      </c>
    </row>
    <row r="400" spans="4:16" x14ac:dyDescent="0.3">
      <c r="D400" s="2">
        <v>400</v>
      </c>
      <c r="L400" s="24">
        <f>IF('3. Detention'!$Z$7&gt;0.2*($P400),('3. Detention'!$Z$7-0.2*($P400))^2/('3. Detention'!$Z$7+0.8*($P400)),0)</f>
        <v>1.1046813754247906</v>
      </c>
      <c r="M400" s="24">
        <f>IF('3. Detention'!$AE$7&gt;0.2*($P400),('3. Detention'!$AE$7-0.2*($P400))^2/('3. Detention'!$AE$7+0.8*($P400)),0)</f>
        <v>2.7172586890217136</v>
      </c>
      <c r="N400" s="24">
        <f>IF('3. Detention'!$AJ$7&gt;0.2*($P400),('3. Detention'!$AJ$7-0.2*($P400))^2/('3. Detention'!$AJ$7+0.8*($P400)),0)</f>
        <v>5.4563702160814564</v>
      </c>
      <c r="O400" s="61">
        <f t="shared" si="10"/>
        <v>75.899999999999665</v>
      </c>
      <c r="P400" s="24">
        <f t="shared" si="11"/>
        <v>3.1752305665349727</v>
      </c>
    </row>
    <row r="401" spans="4:16" x14ac:dyDescent="0.3">
      <c r="D401" s="2">
        <v>401</v>
      </c>
      <c r="L401" s="24">
        <f>IF('3. Detention'!$Z$7&gt;0.2*($P401),('3. Detention'!$Z$7-0.2*($P401))^2/('3. Detention'!$Z$7+0.8*($P401)),0)</f>
        <v>1.11045278997231</v>
      </c>
      <c r="M401" s="24">
        <f>IF('3. Detention'!$AE$7&gt;0.2*($P401),('3. Detention'!$AE$7-0.2*($P401))^2/('3. Detention'!$AE$7+0.8*($P401)),0)</f>
        <v>2.7262268261411182</v>
      </c>
      <c r="N401" s="24">
        <f>IF('3. Detention'!$AJ$7&gt;0.2*($P401),('3. Detention'!$AJ$7-0.2*($P401))^2/('3. Detention'!$AJ$7+0.8*($P401)),0)</f>
        <v>5.4682521910704871</v>
      </c>
      <c r="O401" s="61">
        <f t="shared" si="10"/>
        <v>75.999999999999659</v>
      </c>
      <c r="P401" s="24">
        <f t="shared" si="11"/>
        <v>3.1578947368421648</v>
      </c>
    </row>
    <row r="402" spans="4:16" x14ac:dyDescent="0.3">
      <c r="D402" s="2">
        <v>402</v>
      </c>
      <c r="L402" s="24">
        <f>IF('3. Detention'!$Z$7&gt;0.2*($P402),('3. Detention'!$Z$7-0.2*($P402))^2/('3. Detention'!$Z$7+0.8*($P402)),0)</f>
        <v>1.1162414826136968</v>
      </c>
      <c r="M402" s="24">
        <f>IF('3. Detention'!$AE$7&gt;0.2*($P402),('3. Detention'!$AE$7-0.2*($P402))^2/('3. Detention'!$AE$7+0.8*($P402)),0)</f>
        <v>2.7352064886163219</v>
      </c>
      <c r="N402" s="24">
        <f>IF('3. Detention'!$AJ$7&gt;0.2*($P402),('3. Detention'!$AJ$7-0.2*($P402))^2/('3. Detention'!$AJ$7+0.8*($P402)),0)</f>
        <v>5.4801353943969504</v>
      </c>
      <c r="O402" s="61">
        <f t="shared" si="10"/>
        <v>76.099999999999653</v>
      </c>
      <c r="P402" s="24">
        <f t="shared" si="11"/>
        <v>3.1406044678055789</v>
      </c>
    </row>
    <row r="403" spans="4:16" x14ac:dyDescent="0.3">
      <c r="D403" s="2">
        <v>403</v>
      </c>
      <c r="L403" s="24">
        <f>IF('3. Detention'!$Z$7&gt;0.2*($P403),('3. Detention'!$Z$7-0.2*($P403))^2/('3. Detention'!$Z$7+0.8*($P403)),0)</f>
        <v>1.1220474952802886</v>
      </c>
      <c r="M403" s="24">
        <f>IF('3. Detention'!$AE$7&gt;0.2*($P403),('3. Detention'!$AE$7-0.2*($P403))^2/('3. Detention'!$AE$7+0.8*($P403)),0)</f>
        <v>2.7441976805270629</v>
      </c>
      <c r="N403" s="24">
        <f>IF('3. Detention'!$AJ$7&gt;0.2*($P403),('3. Detention'!$AJ$7-0.2*($P403))^2/('3. Detention'!$AJ$7+0.8*($P403)),0)</f>
        <v>5.4920198172218511</v>
      </c>
      <c r="O403" s="61">
        <f t="shared" si="10"/>
        <v>76.199999999999648</v>
      </c>
      <c r="P403" s="24">
        <f t="shared" si="11"/>
        <v>3.1233595800525542</v>
      </c>
    </row>
    <row r="404" spans="4:16" x14ac:dyDescent="0.3">
      <c r="D404" s="2">
        <v>404</v>
      </c>
      <c r="L404" s="24">
        <f>IF('3. Detention'!$Z$7&gt;0.2*($P404),('3. Detention'!$Z$7-0.2*($P404))^2/('3. Detention'!$Z$7+0.8*($P404)),0)</f>
        <v>1.1278708701809954</v>
      </c>
      <c r="M404" s="24">
        <f>IF('3. Detention'!$AE$7&gt;0.2*($P404),('3. Detention'!$AE$7-0.2*($P404))^2/('3. Detention'!$AE$7+0.8*($P404)),0)</f>
        <v>2.7532004060246602</v>
      </c>
      <c r="N404" s="24">
        <f>IF('3. Detention'!$AJ$7&gt;0.2*($P404),('3. Detention'!$AJ$7-0.2*($P404))^2/('3. Detention'!$AJ$7+0.8*($P404)),0)</f>
        <v>5.5039054507531926</v>
      </c>
      <c r="O404" s="61">
        <f t="shared" si="10"/>
        <v>76.299999999999642</v>
      </c>
      <c r="P404" s="24">
        <f t="shared" si="11"/>
        <v>3.1061598951507818</v>
      </c>
    </row>
    <row r="405" spans="4:16" x14ac:dyDescent="0.3">
      <c r="D405" s="2">
        <v>405</v>
      </c>
      <c r="L405" s="24">
        <f>IF('3. Detention'!$Z$7&gt;0.2*($P405),('3. Detention'!$Z$7-0.2*($P405))^2/('3. Detention'!$Z$7+0.8*($P405)),0)</f>
        <v>1.133711649803298</v>
      </c>
      <c r="M405" s="24">
        <f>IF('3. Detention'!$AE$7&gt;0.2*($P405),('3. Detention'!$AE$7-0.2*($P405))^2/('3. Detention'!$AE$7+0.8*($P405)),0)</f>
        <v>2.7622146693317573</v>
      </c>
      <c r="N405" s="24">
        <f>IF('3. Detention'!$AJ$7&gt;0.2*($P405),('3. Detention'!$AJ$7-0.2*($P405))^2/('3. Detention'!$AJ$7+0.8*($P405)),0)</f>
        <v>5.5157922862456639</v>
      </c>
      <c r="O405" s="61">
        <f t="shared" si="10"/>
        <v>76.399999999999636</v>
      </c>
      <c r="P405" s="24">
        <f t="shared" si="11"/>
        <v>3.0890052356021567</v>
      </c>
    </row>
    <row r="406" spans="4:16" x14ac:dyDescent="0.3">
      <c r="D406" s="2">
        <v>406</v>
      </c>
      <c r="L406" s="24">
        <f>IF('3. Detention'!$Z$7&gt;0.2*($P406),('3. Detention'!$Z$7-0.2*($P406))^2/('3. Detention'!$Z$7+0.8*($P406)),0)</f>
        <v>1.1395698769142586</v>
      </c>
      <c r="M406" s="24">
        <f>IF('3. Detention'!$AE$7&gt;0.2*($P406),('3. Detention'!$AE$7-0.2*($P406))^2/('3. Detention'!$AE$7+0.8*($P406)),0)</f>
        <v>2.7712404747420809</v>
      </c>
      <c r="N406" s="24">
        <f>IF('3. Detention'!$AJ$7&gt;0.2*($P406),('3. Detention'!$AJ$7-0.2*($P406))^2/('3. Detention'!$AJ$7+0.8*($P406)),0)</f>
        <v>5.5276803150003353</v>
      </c>
      <c r="O406" s="61">
        <f t="shared" si="10"/>
        <v>76.499999999999631</v>
      </c>
      <c r="P406" s="24">
        <f t="shared" si="11"/>
        <v>3.071895424836665</v>
      </c>
    </row>
    <row r="407" spans="4:16" x14ac:dyDescent="0.3">
      <c r="D407" s="2">
        <v>407</v>
      </c>
      <c r="L407" s="24">
        <f>IF('3. Detention'!$Z$7&gt;0.2*($P407),('3. Detention'!$Z$7-0.2*($P407))^2/('3. Detention'!$Z$7+0.8*($P407)),0)</f>
        <v>1.1454455945615423</v>
      </c>
      <c r="M407" s="24">
        <f>IF('3. Detention'!$AE$7&gt;0.2*($P407),('3. Detention'!$AE$7-0.2*($P407))^2/('3. Detention'!$AE$7+0.8*($P407)),0)</f>
        <v>2.7802778266201966</v>
      </c>
      <c r="N407" s="24">
        <f>IF('3. Detention'!$AJ$7&gt;0.2*($P407),('3. Detention'!$AJ$7-0.2*($P407))^2/('3. Detention'!$AJ$7+0.8*($P407)),0)</f>
        <v>5.539569528364364</v>
      </c>
      <c r="O407" s="61">
        <f t="shared" si="10"/>
        <v>76.599999999999625</v>
      </c>
      <c r="P407" s="24">
        <f t="shared" si="11"/>
        <v>3.0548302872063307</v>
      </c>
    </row>
    <row r="408" spans="4:16" x14ac:dyDescent="0.3">
      <c r="D408" s="2">
        <v>408</v>
      </c>
      <c r="L408" s="24">
        <f>IF('3. Detention'!$Z$7&gt;0.2*($P408),('3. Detention'!$Z$7-0.2*($P408))^2/('3. Detention'!$Z$7+0.8*($P408)),0)</f>
        <v>1.1513388460744503</v>
      </c>
      <c r="M408" s="24">
        <f>IF('3. Detention'!$AE$7&gt;0.2*($P408),('3. Detention'!$AE$7-0.2*($P408))^2/('3. Detention'!$AE$7+0.8*($P408)),0)</f>
        <v>2.7893267294012603</v>
      </c>
      <c r="N408" s="24">
        <f>IF('3. Detention'!$AJ$7&gt;0.2*($P408),('3. Detention'!$AJ$7-0.2*($P408))^2/('3. Detention'!$AJ$7+0.8*($P408)),0)</f>
        <v>5.5514599177306847</v>
      </c>
      <c r="O408" s="61">
        <f t="shared" si="10"/>
        <v>76.699999999999619</v>
      </c>
      <c r="P408" s="24">
        <f t="shared" si="11"/>
        <v>3.0378096479792038</v>
      </c>
    </row>
    <row r="409" spans="4:16" x14ac:dyDescent="0.3">
      <c r="D409" s="2">
        <v>409</v>
      </c>
      <c r="L409" s="24">
        <f>IF('3. Detention'!$Z$7&gt;0.2*($P409),('3. Detention'!$Z$7-0.2*($P409))^2/('3. Detention'!$Z$7+0.8*($P409)),0)</f>
        <v>1.1572496750649639</v>
      </c>
      <c r="M409" s="24">
        <f>IF('3. Detention'!$AE$7&gt;0.2*($P409),('3. Detention'!$AE$7-0.2*($P409))^2/('3. Detention'!$AE$7+0.8*($P409)),0)</f>
        <v>2.7983871875907811</v>
      </c>
      <c r="N409" s="24">
        <f>IF('3. Detention'!$AJ$7&gt;0.2*($P409),('3. Detention'!$AJ$7-0.2*($P409))^2/('3. Detention'!$AJ$7+0.8*($P409)),0)</f>
        <v>5.5633514745377077</v>
      </c>
      <c r="O409" s="61">
        <f t="shared" si="10"/>
        <v>76.799999999999613</v>
      </c>
      <c r="P409" s="24">
        <f t="shared" si="11"/>
        <v>3.0208333333333997</v>
      </c>
    </row>
    <row r="410" spans="4:16" x14ac:dyDescent="0.3">
      <c r="D410" s="2">
        <v>410</v>
      </c>
      <c r="L410" s="24">
        <f>IF('3. Detention'!$Z$7&gt;0.2*($P410),('3. Detention'!$Z$7-0.2*($P410))^2/('3. Detention'!$Z$7+0.8*($P410)),0)</f>
        <v>1.1631781254288029</v>
      </c>
      <c r="M410" s="24">
        <f>IF('3. Detention'!$AE$7&gt;0.2*($P410),('3. Detention'!$AE$7-0.2*($P410))^2/('3. Detention'!$AE$7+0.8*($P410)),0)</f>
        <v>2.8074592057643919</v>
      </c>
      <c r="N410" s="24">
        <f>IF('3. Detention'!$AJ$7&gt;0.2*($P410),('3. Detention'!$AJ$7-0.2*($P410))^2/('3. Detention'!$AJ$7+0.8*($P410)),0)</f>
        <v>5.5752441902690384</v>
      </c>
      <c r="O410" s="61">
        <f t="shared" si="10"/>
        <v>76.899999999999608</v>
      </c>
      <c r="P410" s="24">
        <f t="shared" si="11"/>
        <v>3.0039011703511722</v>
      </c>
    </row>
    <row r="411" spans="4:16" x14ac:dyDescent="0.3">
      <c r="D411" s="2">
        <v>411</v>
      </c>
      <c r="L411" s="24">
        <f>IF('3. Detention'!$Z$7&gt;0.2*($P411),('3. Detention'!$Z$7-0.2*($P411))^2/('3. Detention'!$Z$7+0.8*($P411)),0)</f>
        <v>1.169124241346492</v>
      </c>
      <c r="M411" s="24">
        <f>IF('3. Detention'!$AE$7&gt;0.2*($P411),('3. Detention'!$AE$7-0.2*($P411))^2/('3. Detention'!$AE$7+0.8*($P411)),0)</f>
        <v>2.8165427885676033</v>
      </c>
      <c r="N411" s="24">
        <f>IF('3. Detention'!$AJ$7&gt;0.2*($P411),('3. Detention'!$AJ$7-0.2*($P411))^2/('3. Detention'!$AJ$7+0.8*($P411)),0)</f>
        <v>5.5871380564531705</v>
      </c>
      <c r="O411" s="61">
        <f t="shared" ref="O411:O474" si="12">O410+0.1</f>
        <v>76.999999999999602</v>
      </c>
      <c r="P411" s="24">
        <f t="shared" si="11"/>
        <v>2.9870129870130544</v>
      </c>
    </row>
    <row r="412" spans="4:16" x14ac:dyDescent="0.3">
      <c r="D412" s="2">
        <v>412</v>
      </c>
      <c r="L412" s="24">
        <f>IF('3. Detention'!$Z$7&gt;0.2*($P412),('3. Detention'!$Z$7-0.2*($P412))^2/('3. Detention'!$Z$7+0.8*($P412)),0)</f>
        <v>1.175088067284439</v>
      </c>
      <c r="M412" s="24">
        <f>IF('3. Detention'!$AE$7&gt;0.2*($P412),('3. Detention'!$AE$7-0.2*($P412))^2/('3. Detention'!$AE$7+0.8*($P412)),0)</f>
        <v>2.8256379407155752</v>
      </c>
      <c r="N412" s="24">
        <f>IF('3. Detention'!$AJ$7&gt;0.2*($P412),('3. Detention'!$AJ$7-0.2*($P412))^2/('3. Detention'!$AJ$7+0.8*($P412)),0)</f>
        <v>5.5990330646631969</v>
      </c>
      <c r="O412" s="61">
        <f t="shared" si="12"/>
        <v>77.099999999999596</v>
      </c>
      <c r="P412" s="24">
        <f t="shared" si="11"/>
        <v>2.9701686121920261</v>
      </c>
    </row>
    <row r="413" spans="4:16" x14ac:dyDescent="0.3">
      <c r="D413" s="2">
        <v>413</v>
      </c>
      <c r="L413" s="24">
        <f>IF('3. Detention'!$Z$7&gt;0.2*($P413),('3. Detention'!$Z$7-0.2*($P413))^2/('3. Detention'!$Z$7+0.8*($P413)),0)</f>
        <v>1.181069647996027</v>
      </c>
      <c r="M413" s="24">
        <f>IF('3. Detention'!$AE$7&gt;0.2*($P413),('3. Detention'!$AE$7-0.2*($P413))^2/('3. Detention'!$AE$7+0.8*($P413)),0)</f>
        <v>2.8347446669928908</v>
      </c>
      <c r="N413" s="24">
        <f>IF('3. Detention'!$AJ$7&gt;0.2*($P413),('3. Detention'!$AJ$7-0.2*($P413))^2/('3. Detention'!$AJ$7+0.8*($P413)),0)</f>
        <v>5.6109292065165262</v>
      </c>
      <c r="O413" s="61">
        <f t="shared" si="12"/>
        <v>77.199999999999591</v>
      </c>
      <c r="P413" s="24">
        <f t="shared" si="11"/>
        <v>2.9533678756477375</v>
      </c>
    </row>
    <row r="414" spans="4:16" x14ac:dyDescent="0.3">
      <c r="D414" s="2">
        <v>414</v>
      </c>
      <c r="L414" s="24">
        <f>IF('3. Detention'!$Z$7&gt;0.2*($P414),('3. Detention'!$Z$7-0.2*($P414))^2/('3. Detention'!$Z$7+0.8*($P414)),0)</f>
        <v>1.1870690285227192</v>
      </c>
      <c r="M414" s="24">
        <f>IF('3. Detention'!$AE$7&gt;0.2*($P414),('3. Detention'!$AE$7-0.2*($P414))^2/('3. Detention'!$AE$7+0.8*($P414)),0)</f>
        <v>2.8438629722533251</v>
      </c>
      <c r="N414" s="24">
        <f>IF('3. Detention'!$AJ$7&gt;0.2*($P414),('3. Detention'!$AJ$7-0.2*($P414))^2/('3. Detention'!$AJ$7+0.8*($P414)),0)</f>
        <v>5.6228264736745883</v>
      </c>
      <c r="O414" s="61">
        <f t="shared" si="12"/>
        <v>77.299999999999585</v>
      </c>
      <c r="P414" s="24">
        <f t="shared" si="11"/>
        <v>2.9366106080207679</v>
      </c>
    </row>
    <row r="415" spans="4:16" x14ac:dyDescent="0.3">
      <c r="D415" s="2">
        <v>415</v>
      </c>
      <c r="L415" s="24">
        <f>IF('3. Detention'!$Z$7&gt;0.2*($P415),('3. Detention'!$Z$7-0.2*($P415))^2/('3. Detention'!$Z$7+0.8*($P415)),0)</f>
        <v>1.1930862541951703</v>
      </c>
      <c r="M415" s="24">
        <f>IF('3. Detention'!$AE$7&gt;0.2*($P415),('3. Detention'!$AE$7-0.2*($P415))^2/('3. Detention'!$AE$7+0.8*($P415)),0)</f>
        <v>2.8529928614196209</v>
      </c>
      <c r="N415" s="24">
        <f>IF('3. Detention'!$AJ$7&gt;0.2*($P415),('3. Detention'!$AJ$7-0.2*($P415))^2/('3. Detention'!$AJ$7+0.8*($P415)),0)</f>
        <v>5.6347248578425617</v>
      </c>
      <c r="O415" s="61">
        <f t="shared" si="12"/>
        <v>77.399999999999579</v>
      </c>
      <c r="P415" s="24">
        <f t="shared" si="11"/>
        <v>2.9198966408269431</v>
      </c>
    </row>
    <row r="416" spans="4:16" x14ac:dyDescent="0.3">
      <c r="D416" s="2">
        <v>416</v>
      </c>
      <c r="L416" s="24">
        <f>IF('3. Detention'!$Z$7&gt;0.2*($P416),('3. Detention'!$Z$7-0.2*($P416))^2/('3. Detention'!$Z$7+0.8*($P416)),0)</f>
        <v>1.199121370634354</v>
      </c>
      <c r="M416" s="24">
        <f>IF('3. Detention'!$AE$7&gt;0.2*($P416),('3. Detention'!$AE$7-0.2*($P416))^2/('3. Detention'!$AE$7+0.8*($P416)),0)</f>
        <v>2.8621343394832652</v>
      </c>
      <c r="N416" s="24">
        <f>IF('3. Detention'!$AJ$7&gt;0.2*($P416),('3. Detention'!$AJ$7-0.2*($P416))^2/('3. Detention'!$AJ$7+0.8*($P416)),0)</f>
        <v>5.6466243507690725</v>
      </c>
      <c r="O416" s="61">
        <f t="shared" si="12"/>
        <v>77.499999999999574</v>
      </c>
      <c r="P416" s="24">
        <f t="shared" si="11"/>
        <v>2.9032258064516832</v>
      </c>
    </row>
    <row r="417" spans="4:16" x14ac:dyDescent="0.3">
      <c r="D417" s="2">
        <v>417</v>
      </c>
      <c r="L417" s="24">
        <f>IF('3. Detention'!$Z$7&gt;0.2*($P417),('3. Detention'!$Z$7-0.2*($P417))^2/('3. Detention'!$Z$7+0.8*($P417)),0)</f>
        <v>1.2051744237527011</v>
      </c>
      <c r="M417" s="24">
        <f>IF('3. Detention'!$AE$7&gt;0.2*($P417),('3. Detention'!$AE$7-0.2*($P417))^2/('3. Detention'!$AE$7+0.8*($P417)),0)</f>
        <v>2.8712874115042704</v>
      </c>
      <c r="N417" s="24">
        <f>IF('3. Detention'!$AJ$7&gt;0.2*($P417),('3. Detention'!$AJ$7-0.2*($P417))^2/('3. Detention'!$AJ$7+0.8*($P417)),0)</f>
        <v>5.6585249442459329</v>
      </c>
      <c r="O417" s="61">
        <f t="shared" si="12"/>
        <v>77.599999999999568</v>
      </c>
      <c r="P417" s="24">
        <f t="shared" si="11"/>
        <v>2.8865979381444014</v>
      </c>
    </row>
    <row r="418" spans="4:16" x14ac:dyDescent="0.3">
      <c r="D418" s="2">
        <v>418</v>
      </c>
      <c r="L418" s="24">
        <f>IF('3. Detention'!$Z$7&gt;0.2*($P418),('3. Detention'!$Z$7-0.2*($P418))^2/('3. Detention'!$Z$7+0.8*($P418)),0)</f>
        <v>1.2112454597552511</v>
      </c>
      <c r="M418" s="24">
        <f>IF('3. Detention'!$AE$7&gt;0.2*($P418),('3. Detention'!$AE$7-0.2*($P418))^2/('3. Detention'!$AE$7+0.8*($P418)),0)</f>
        <v>2.8804520826109559</v>
      </c>
      <c r="N418" s="24">
        <f>IF('3. Detention'!$AJ$7&gt;0.2*($P418),('3. Detention'!$AJ$7-0.2*($P418))^2/('3. Detention'!$AJ$7+0.8*($P418)),0)</f>
        <v>5.6704266301078521</v>
      </c>
      <c r="O418" s="61">
        <f t="shared" si="12"/>
        <v>77.699999999999562</v>
      </c>
      <c r="P418" s="24">
        <f t="shared" si="11"/>
        <v>2.8700128700129426</v>
      </c>
    </row>
    <row r="419" spans="4:16" x14ac:dyDescent="0.3">
      <c r="D419" s="2">
        <v>419</v>
      </c>
      <c r="L419" s="24">
        <f>IF('3. Detention'!$Z$7&gt;0.2*($P419),('3. Detention'!$Z$7-0.2*($P419))^2/('3. Detention'!$Z$7+0.8*($P419)),0)</f>
        <v>1.2173345251408143</v>
      </c>
      <c r="M419" s="24">
        <f>IF('3. Detention'!$AE$7&gt;0.2*($P419),('3. Detention'!$AE$7-0.2*($P419))^2/('3. Detention'!$AE$7+0.8*($P419)),0)</f>
        <v>2.8896283579997335</v>
      </c>
      <c r="N419" s="24">
        <f>IF('3. Detention'!$AJ$7&gt;0.2*($P419),('3. Detention'!$AJ$7-0.2*($P419))^2/('3. Detention'!$AJ$7+0.8*($P419)),0)</f>
        <v>5.6823294002321676</v>
      </c>
      <c r="O419" s="61">
        <f t="shared" si="12"/>
        <v>77.799999999999557</v>
      </c>
      <c r="P419" s="24">
        <f t="shared" si="11"/>
        <v>2.8534704370180677</v>
      </c>
    </row>
    <row r="420" spans="4:16" x14ac:dyDescent="0.3">
      <c r="D420" s="2">
        <v>420</v>
      </c>
      <c r="L420" s="24">
        <f>IF('3. Detention'!$Z$7&gt;0.2*($P420),('3. Detention'!$Z$7-0.2*($P420))^2/('3. Detention'!$Z$7+0.8*($P420)),0)</f>
        <v>1.2234416667031427</v>
      </c>
      <c r="M420" s="24">
        <f>IF('3. Detention'!$AE$7&gt;0.2*($P420),('3. Detention'!$AE$7-0.2*($P420))^2/('3. Detention'!$AE$7+0.8*($P420)),0)</f>
        <v>2.8988162429348892</v>
      </c>
      <c r="N420" s="24">
        <f>IF('3. Detention'!$AJ$7&gt;0.2*($P420),('3. Detention'!$AJ$7-0.2*($P420))^2/('3. Detention'!$AJ$7+0.8*($P420)),0)</f>
        <v>5.6942332465385643</v>
      </c>
      <c r="O420" s="61">
        <f t="shared" si="12"/>
        <v>77.899999999999551</v>
      </c>
      <c r="P420" s="24">
        <f t="shared" si="11"/>
        <v>2.8369704749679823</v>
      </c>
    </row>
    <row r="421" spans="4:16" x14ac:dyDescent="0.3">
      <c r="D421" s="2">
        <v>421</v>
      </c>
      <c r="L421" s="24">
        <f>IF('3. Detention'!$Z$7&gt;0.2*($P421),('3. Detention'!$Z$7-0.2*($P421))^2/('3. Detention'!$Z$7+0.8*($P421)),0)</f>
        <v>1.2295669315321225</v>
      </c>
      <c r="M421" s="24">
        <f>IF('3. Detention'!$AE$7&gt;0.2*($P421),('3. Detention'!$AE$7-0.2*($P421))^2/('3. Detention'!$AE$7+0.8*($P421)),0)</f>
        <v>2.908015742748379</v>
      </c>
      <c r="N421" s="24">
        <f>IF('3. Detention'!$AJ$7&gt;0.2*($P421),('3. Detention'!$AJ$7-0.2*($P421))^2/('3. Detention'!$AJ$7+0.8*($P421)),0)</f>
        <v>5.7061381609888064</v>
      </c>
      <c r="O421" s="61">
        <f t="shared" si="12"/>
        <v>77.999999999999545</v>
      </c>
      <c r="P421" s="24">
        <f t="shared" si="11"/>
        <v>2.8205128205128958</v>
      </c>
    </row>
    <row r="422" spans="4:16" x14ac:dyDescent="0.3">
      <c r="D422" s="2">
        <v>422</v>
      </c>
      <c r="L422" s="24">
        <f>IF('3. Detention'!$Z$7&gt;0.2*($P422),('3. Detention'!$Z$7-0.2*($P422))^2/('3. Detention'!$Z$7+0.8*($P422)),0)</f>
        <v>1.2357103670149667</v>
      </c>
      <c r="M422" s="24">
        <f>IF('3. Detention'!$AE$7&gt;0.2*($P422),('3. Detention'!$AE$7-0.2*($P422))^2/('3. Detention'!$AE$7+0.8*($P422)),0)</f>
        <v>2.9172268628396139</v>
      </c>
      <c r="N422" s="24">
        <f>IF('3. Detention'!$AJ$7&gt;0.2*($P422),('3. Detention'!$AJ$7-0.2*($P422))^2/('3. Detention'!$AJ$7+0.8*($P422)),0)</f>
        <v>5.7180441355864664</v>
      </c>
      <c r="O422" s="61">
        <f t="shared" si="12"/>
        <v>78.09999999999954</v>
      </c>
      <c r="P422" s="24">
        <f t="shared" si="11"/>
        <v>2.8040973111396408</v>
      </c>
    </row>
    <row r="423" spans="4:16" x14ac:dyDescent="0.3">
      <c r="D423" s="2">
        <v>423</v>
      </c>
      <c r="L423" s="24">
        <f>IF('3. Detention'!$Z$7&gt;0.2*($P423),('3. Detention'!$Z$7-0.2*($P423))^2/('3. Detention'!$Z$7+0.8*($P423)),0)</f>
        <v>1.2418720208374308</v>
      </c>
      <c r="M423" s="24">
        <f>IF('3. Detention'!$AE$7&gt;0.2*($P423),('3. Detention'!$AE$7-0.2*($P423))^2/('3. Detention'!$AE$7+0.8*($P423)),0)</f>
        <v>2.9264496086752585</v>
      </c>
      <c r="N423" s="24">
        <f>IF('3. Detention'!$AJ$7&gt;0.2*($P423),('3. Detention'!$AJ$7-0.2*($P423))^2/('3. Detention'!$AJ$7+0.8*($P423)),0)</f>
        <v>5.7299511623766648</v>
      </c>
      <c r="O423" s="61">
        <f t="shared" si="12"/>
        <v>78.199999999999534</v>
      </c>
      <c r="P423" s="24">
        <f t="shared" si="11"/>
        <v>2.7877237851663175</v>
      </c>
    </row>
    <row r="424" spans="4:16" x14ac:dyDescent="0.3">
      <c r="D424" s="2">
        <v>424</v>
      </c>
      <c r="L424" s="24">
        <f>IF('3. Detention'!$Z$7&gt;0.2*($P424),('3. Detention'!$Z$7-0.2*($P424))^2/('3. Detention'!$Z$7+0.8*($P424)),0)</f>
        <v>1.2480519409850339</v>
      </c>
      <c r="M424" s="24">
        <f>IF('3. Detention'!$AE$7&gt;0.2*($P424),('3. Detention'!$AE$7-0.2*($P424))^2/('3. Detention'!$AE$7+0.8*($P424)),0)</f>
        <v>2.9356839857890225</v>
      </c>
      <c r="N424" s="24">
        <f>IF('3. Detention'!$AJ$7&gt;0.2*($P424),('3. Detention'!$AJ$7-0.2*($P424))^2/('3. Detention'!$AJ$7+0.8*($P424)),0)</f>
        <v>5.741859233445795</v>
      </c>
      <c r="O424" s="61">
        <f t="shared" si="12"/>
        <v>78.299999999999528</v>
      </c>
      <c r="P424" s="24">
        <f t="shared" si="11"/>
        <v>2.7713920817369857</v>
      </c>
    </row>
    <row r="425" spans="4:16" x14ac:dyDescent="0.3">
      <c r="D425" s="2">
        <v>425</v>
      </c>
      <c r="L425" s="24">
        <f>IF('3. Detention'!$Z$7&gt;0.2*($P425),('3. Detention'!$Z$7-0.2*($P425))^2/('3. Detention'!$Z$7+0.8*($P425)),0)</f>
        <v>1.2542501757442928</v>
      </c>
      <c r="M425" s="24">
        <f>IF('3. Detention'!$AE$7&gt;0.2*($P425),('3. Detention'!$AE$7-0.2*($P425))^2/('3. Detention'!$AE$7+0.8*($P425)),0)</f>
        <v>2.94492999978146</v>
      </c>
      <c r="N425" s="24">
        <f>IF('3. Detention'!$AJ$7&gt;0.2*($P425),('3. Detention'!$AJ$7-0.2*($P425))^2/('3. Detention'!$AJ$7+0.8*($P425)),0)</f>
        <v>5.7537683409212619</v>
      </c>
      <c r="O425" s="61">
        <f t="shared" si="12"/>
        <v>78.399999999999523</v>
      </c>
      <c r="P425" s="24">
        <f t="shared" ref="P425:P488" si="13">IF(O425&gt;0,1000/O425-10,1000)</f>
        <v>2.7551020408164035</v>
      </c>
    </row>
    <row r="426" spans="4:16" x14ac:dyDescent="0.3">
      <c r="D426" s="2">
        <v>426</v>
      </c>
      <c r="L426" s="24">
        <f>IF('3. Detention'!$Z$7&gt;0.2*($P426),('3. Detention'!$Z$7-0.2*($P426))^2/('3. Detention'!$Z$7+0.8*($P426)),0)</f>
        <v>1.2604667737039736</v>
      </c>
      <c r="M426" s="24">
        <f>IF('3. Detention'!$AE$7&gt;0.2*($P426),('3. Detention'!$AE$7-0.2*($P426))^2/('3. Detention'!$AE$7+0.8*($P426)),0)</f>
        <v>2.9541876563197684</v>
      </c>
      <c r="N426" s="24">
        <f>IF('3. Detention'!$AJ$7&gt;0.2*($P426),('3. Detention'!$AJ$7-0.2*($P426))^2/('3. Detention'!$AJ$7+0.8*($P426)),0)</f>
        <v>5.7656784769712237</v>
      </c>
      <c r="O426" s="61">
        <f t="shared" si="12"/>
        <v>78.499999999999517</v>
      </c>
      <c r="P426" s="24">
        <f t="shared" si="13"/>
        <v>2.7388535031847923</v>
      </c>
    </row>
    <row r="427" spans="4:16" x14ac:dyDescent="0.3">
      <c r="D427" s="2">
        <v>427</v>
      </c>
      <c r="L427" s="24">
        <f>IF('3. Detention'!$Z$7&gt;0.2*($P427),('3. Detention'!$Z$7-0.2*($P427))^2/('3. Detention'!$Z$7+0.8*($P427)),0)</f>
        <v>1.2667017837563515</v>
      </c>
      <c r="M427" s="24">
        <f>IF('3. Detention'!$AE$7&gt;0.2*($P427),('3. Detention'!$AE$7-0.2*($P427))^2/('3. Detention'!$AE$7+0.8*($P427)),0)</f>
        <v>2.9634569611375943</v>
      </c>
      <c r="N427" s="24">
        <f>IF('3. Detention'!$AJ$7&gt;0.2*($P427),('3. Detention'!$AJ$7-0.2*($P427))^2/('3. Detention'!$AJ$7+0.8*($P427)),0)</f>
        <v>5.7775896338043333</v>
      </c>
      <c r="O427" s="61">
        <f t="shared" si="12"/>
        <v>78.599999999999511</v>
      </c>
      <c r="P427" s="24">
        <f t="shared" si="13"/>
        <v>2.7226463104326495</v>
      </c>
    </row>
    <row r="428" spans="4:16" x14ac:dyDescent="0.3">
      <c r="D428" s="2">
        <v>428</v>
      </c>
      <c r="L428" s="24">
        <f>IF('3. Detention'!$Z$7&gt;0.2*($P428),('3. Detention'!$Z$7-0.2*($P428))^2/('3. Detention'!$Z$7+0.8*($P428)),0)</f>
        <v>1.2729552550984824</v>
      </c>
      <c r="M428" s="24">
        <f>IF('3. Detention'!$AE$7&gt;0.2*($P428),('3. Detention'!$AE$7-0.2*($P428))^2/('3. Detention'!$AE$7+0.8*($P428)),0)</f>
        <v>2.9727379200348358</v>
      </c>
      <c r="N428" s="24">
        <f>IF('3. Detention'!$AJ$7&gt;0.2*($P428),('3. Detention'!$AJ$7-0.2*($P428))^2/('3. Detention'!$AJ$7+0.8*($P428)),0)</f>
        <v>5.7895018036694799</v>
      </c>
      <c r="O428" s="61">
        <f t="shared" si="12"/>
        <v>78.699999999999505</v>
      </c>
      <c r="P428" s="24">
        <f t="shared" si="13"/>
        <v>2.7064803049556065</v>
      </c>
    </row>
    <row r="429" spans="4:16" x14ac:dyDescent="0.3">
      <c r="D429" s="2">
        <v>429</v>
      </c>
      <c r="L429" s="24">
        <f>IF('3. Detention'!$Z$7&gt;0.2*($P429),('3. Detention'!$Z$7-0.2*($P429))^2/('3. Detention'!$Z$7+0.8*($P429)),0)</f>
        <v>1.2792272372334887</v>
      </c>
      <c r="M429" s="24">
        <f>IF('3. Detention'!$AE$7&gt;0.2*($P429),('3. Detention'!$AE$7-0.2*($P429))^2/('3. Detention'!$AE$7+0.8*($P429)),0)</f>
        <v>2.9820305388774448</v>
      </c>
      <c r="N429" s="24">
        <f>IF('3. Detention'!$AJ$7&gt;0.2*($P429),('3. Detention'!$AJ$7-0.2*($P429))^2/('3. Detention'!$AJ$7+0.8*($P429)),0)</f>
        <v>5.8014149788555285</v>
      </c>
      <c r="O429" s="61">
        <f t="shared" si="12"/>
        <v>78.7999999999995</v>
      </c>
      <c r="P429" s="24">
        <f t="shared" si="13"/>
        <v>2.6903553299493197</v>
      </c>
    </row>
    <row r="430" spans="4:16" x14ac:dyDescent="0.3">
      <c r="D430" s="2">
        <v>430</v>
      </c>
      <c r="L430" s="24">
        <f>IF('3. Detention'!$Z$7&gt;0.2*($P430),('3. Detention'!$Z$7-0.2*($P430))^2/('3. Detention'!$Z$7+0.8*($P430)),0)</f>
        <v>1.285517779971862</v>
      </c>
      <c r="M430" s="24">
        <f>IF('3. Detention'!$AE$7&gt;0.2*($P430),('3. Detention'!$AE$7-0.2*($P430))^2/('3. Detention'!$AE$7+0.8*($P430)),0)</f>
        <v>2.9913348235972421</v>
      </c>
      <c r="N430" s="24">
        <f>IF('3. Detention'!$AJ$7&gt;0.2*($P430),('3. Detention'!$AJ$7-0.2*($P430))^2/('3. Detention'!$AJ$7+0.8*($P430)),0)</f>
        <v>5.8133291516910734</v>
      </c>
      <c r="O430" s="61">
        <f t="shared" si="12"/>
        <v>78.899999999999494</v>
      </c>
      <c r="P430" s="24">
        <f t="shared" si="13"/>
        <v>2.6742712294043898</v>
      </c>
    </row>
    <row r="431" spans="4:16" x14ac:dyDescent="0.3">
      <c r="D431" s="2">
        <v>431</v>
      </c>
      <c r="L431" s="24">
        <f>IF('3. Detention'!$Z$7&gt;0.2*($P431),('3. Detention'!$Z$7-0.2*($P431))^2/('3. Detention'!$Z$7+0.8*($P431)),0)</f>
        <v>1.2918269334327674</v>
      </c>
      <c r="M431" s="24">
        <f>IF('3. Detention'!$AE$7&gt;0.2*($P431),('3. Detention'!$AE$7-0.2*($P431))^2/('3. Detention'!$AE$7+0.8*($P431)),0)</f>
        <v>3.0006507801917226</v>
      </c>
      <c r="N431" s="24">
        <f>IF('3. Detention'!$AJ$7&gt;0.2*($P431),('3. Detention'!$AJ$7-0.2*($P431))^2/('3. Detention'!$AJ$7+0.8*($P431)),0)</f>
        <v>5.8252443145441806</v>
      </c>
      <c r="O431" s="61">
        <f t="shared" si="12"/>
        <v>78.999999999999488</v>
      </c>
      <c r="P431" s="24">
        <f t="shared" si="13"/>
        <v>2.6582278481013475</v>
      </c>
    </row>
    <row r="432" spans="4:16" x14ac:dyDescent="0.3">
      <c r="D432" s="2">
        <v>432</v>
      </c>
      <c r="L432" s="24">
        <f>IF('3. Detention'!$Z$7&gt;0.2*($P432),('3. Detention'!$Z$7-0.2*($P432))^2/('3. Detention'!$Z$7+0.8*($P432)),0)</f>
        <v>1.298154748045375</v>
      </c>
      <c r="M432" s="24">
        <f>IF('3. Detention'!$AE$7&gt;0.2*($P432),('3. Detention'!$AE$7-0.2*($P432))^2/('3. Detention'!$AE$7+0.8*($P432)),0)</f>
        <v>3.0099784147238724</v>
      </c>
      <c r="N432" s="24">
        <f>IF('3. Detention'!$AJ$7&gt;0.2*($P432),('3. Detention'!$AJ$7-0.2*($P432))^2/('3. Detention'!$AJ$7+0.8*($P432)),0)</f>
        <v>5.8371604598221429</v>
      </c>
      <c r="O432" s="61">
        <f t="shared" si="12"/>
        <v>79.099999999999483</v>
      </c>
      <c r="P432" s="24">
        <f t="shared" si="13"/>
        <v>2.6422250316056459</v>
      </c>
    </row>
    <row r="433" spans="4:16" x14ac:dyDescent="0.3">
      <c r="D433" s="2">
        <v>433</v>
      </c>
      <c r="L433" s="24">
        <f>IF('3. Detention'!$Z$7&gt;0.2*($P433),('3. Detention'!$Z$7-0.2*($P433))^2/('3. Detention'!$Z$7+0.8*($P433)),0)</f>
        <v>1.3045012745501947</v>
      </c>
      <c r="M433" s="24">
        <f>IF('3. Detention'!$AE$7&gt;0.2*($P433),('3. Detention'!$AE$7-0.2*($P433))^2/('3. Detention'!$AE$7+0.8*($P433)),0)</f>
        <v>3.0193177333219841</v>
      </c>
      <c r="N433" s="24">
        <f>IF('3. Detention'!$AJ$7&gt;0.2*($P433),('3. Detention'!$AJ$7-0.2*($P433))^2/('3. Detention'!$AJ$7+0.8*($P433)),0)</f>
        <v>5.8490775799712349</v>
      </c>
      <c r="O433" s="61">
        <f t="shared" si="12"/>
        <v>79.199999999999477</v>
      </c>
      <c r="P433" s="24">
        <f t="shared" si="13"/>
        <v>2.6262626262627098</v>
      </c>
    </row>
    <row r="434" spans="4:16" x14ac:dyDescent="0.3">
      <c r="D434" s="2">
        <v>434</v>
      </c>
      <c r="L434" s="24">
        <f>IF('3. Detention'!$Z$7&gt;0.2*($P434),('3. Detention'!$Z$7-0.2*($P434))^2/('3. Detention'!$Z$7+0.8*($P434)),0)</f>
        <v>1.3108665640004233</v>
      </c>
      <c r="M434" s="24">
        <f>IF('3. Detention'!$AE$7&gt;0.2*($P434),('3. Detention'!$AE$7-0.2*($P434))^2/('3. Detention'!$AE$7+0.8*($P434)),0)</f>
        <v>3.0286687421794651</v>
      </c>
      <c r="N434" s="24">
        <f>IF('3. Detention'!$AJ$7&gt;0.2*($P434),('3. Detention'!$AJ$7-0.2*($P434))^2/('3. Detention'!$AJ$7+0.8*($P434)),0)</f>
        <v>5.8609956674764554</v>
      </c>
      <c r="O434" s="61">
        <f t="shared" si="12"/>
        <v>79.299999999999471</v>
      </c>
      <c r="P434" s="24">
        <f t="shared" si="13"/>
        <v>2.610340479193022</v>
      </c>
    </row>
    <row r="435" spans="4:16" x14ac:dyDescent="0.3">
      <c r="D435" s="2">
        <v>435</v>
      </c>
      <c r="L435" s="24">
        <f>IF('3. Detention'!$Z$7&gt;0.2*($P435),('3. Detention'!$Z$7-0.2*($P435))^2/('3. Detention'!$Z$7+0.8*($P435)),0)</f>
        <v>1.3172506677633125</v>
      </c>
      <c r="M435" s="24">
        <f>IF('3. Detention'!$AE$7&gt;0.2*($P435),('3. Detention'!$AE$7-0.2*($P435))^2/('3. Detention'!$AE$7+0.8*($P435)),0)</f>
        <v>3.0380314475546708</v>
      </c>
      <c r="N435" s="24">
        <f>IF('3. Detention'!$AJ$7&gt;0.2*($P435),('3. Detention'!$AJ$7-0.2*($P435))^2/('3. Detention'!$AJ$7+0.8*($P435)),0)</f>
        <v>5.872914714861297</v>
      </c>
      <c r="O435" s="61">
        <f t="shared" si="12"/>
        <v>79.399999999999466</v>
      </c>
      <c r="P435" s="24">
        <f t="shared" si="13"/>
        <v>2.5944584382872389</v>
      </c>
    </row>
    <row r="436" spans="4:16" x14ac:dyDescent="0.3">
      <c r="D436" s="2">
        <v>436</v>
      </c>
      <c r="L436" s="24">
        <f>IF('3. Detention'!$Z$7&gt;0.2*($P436),('3. Detention'!$Z$7-0.2*($P436))^2/('3. Detention'!$Z$7+0.8*($P436)),0)</f>
        <v>1.3236536375215431</v>
      </c>
      <c r="M436" s="24">
        <f>IF('3. Detention'!$AE$7&gt;0.2*($P436),('3. Detention'!$AE$7-0.2*($P436))^2/('3. Detention'!$AE$7+0.8*($P436)),0)</f>
        <v>3.0474058557707093</v>
      </c>
      <c r="N436" s="24">
        <f>IF('3. Detention'!$AJ$7&gt;0.2*($P436),('3. Detention'!$AJ$7-0.2*($P436))^2/('3. Detention'!$AJ$7+0.8*($P436)),0)</f>
        <v>5.884834714687492</v>
      </c>
      <c r="O436" s="61">
        <f t="shared" si="12"/>
        <v>79.49999999999946</v>
      </c>
      <c r="P436" s="24">
        <f t="shared" si="13"/>
        <v>2.5786163522013439</v>
      </c>
    </row>
    <row r="437" spans="4:16" x14ac:dyDescent="0.3">
      <c r="D437" s="2">
        <v>437</v>
      </c>
      <c r="L437" s="24">
        <f>IF('3. Detention'!$Z$7&gt;0.2*($P437),('3. Detention'!$Z$7-0.2*($P437))^2/('3. Detention'!$Z$7+0.8*($P437)),0)</f>
        <v>1.3300755252746159</v>
      </c>
      <c r="M437" s="24">
        <f>IF('3. Detention'!$AE$7&gt;0.2*($P437),('3. Detention'!$AE$7-0.2*($P437))^2/('3. Detention'!$AE$7+0.8*($P437)),0)</f>
        <v>3.0567919732152804</v>
      </c>
      <c r="N437" s="24">
        <f>IF('3. Detention'!$AJ$7&gt;0.2*($P437),('3. Detention'!$AJ$7-0.2*($P437))^2/('3. Detention'!$AJ$7+0.8*($P437)),0)</f>
        <v>5.8967556595547821</v>
      </c>
      <c r="O437" s="61">
        <f t="shared" si="12"/>
        <v>79.599999999999454</v>
      </c>
      <c r="P437" s="24">
        <f t="shared" si="13"/>
        <v>2.5628140703518447</v>
      </c>
    </row>
    <row r="438" spans="4:16" x14ac:dyDescent="0.3">
      <c r="D438" s="2">
        <v>438</v>
      </c>
      <c r="L438" s="24">
        <f>IF('3. Detention'!$Z$7&gt;0.2*($P438),('3. Detention'!$Z$7-0.2*($P438))^2/('3. Detention'!$Z$7+0.8*($P438)),0)</f>
        <v>1.3365163833402522</v>
      </c>
      <c r="M438" s="24">
        <f>IF('3. Detention'!$AE$7&gt;0.2*($P438),('3. Detention'!$AE$7-0.2*($P438))^2/('3. Detention'!$AE$7+0.8*($P438)),0)</f>
        <v>3.0661898063404864</v>
      </c>
      <c r="N438" s="24">
        <f>IF('3. Detention'!$AJ$7&gt;0.2*($P438),('3. Detention'!$AJ$7-0.2*($P438))^2/('3. Detention'!$AJ$7+0.8*($P438)),0)</f>
        <v>5.9086775421006719</v>
      </c>
      <c r="O438" s="61">
        <f t="shared" si="12"/>
        <v>79.699999999999449</v>
      </c>
      <c r="P438" s="24">
        <f t="shared" si="13"/>
        <v>2.5470514429110036</v>
      </c>
    </row>
    <row r="439" spans="4:16" x14ac:dyDescent="0.3">
      <c r="D439" s="2">
        <v>439</v>
      </c>
      <c r="L439" s="24">
        <f>IF('3. Detention'!$Z$7&gt;0.2*($P439),('3. Detention'!$Z$7-0.2*($P439))^2/('3. Detention'!$Z$7+0.8*($P439)),0)</f>
        <v>1.3429762643558159</v>
      </c>
      <c r="M439" s="24">
        <f>IF('3. Detention'!$AE$7&gt;0.2*($P439),('3. Detention'!$AE$7-0.2*($P439))^2/('3. Detention'!$AE$7+0.8*($P439)),0)</f>
        <v>3.0755993616626713</v>
      </c>
      <c r="N439" s="24">
        <f>IF('3. Detention'!$AJ$7&gt;0.2*($P439),('3. Detention'!$AJ$7-0.2*($P439))^2/('3. Detention'!$AJ$7+0.8*($P439)),0)</f>
        <v>5.9206003550002002</v>
      </c>
      <c r="O439" s="61">
        <f t="shared" si="12"/>
        <v>79.799999999999443</v>
      </c>
      <c r="P439" s="24">
        <f t="shared" si="13"/>
        <v>2.5313283208020927</v>
      </c>
    </row>
    <row r="440" spans="4:16" x14ac:dyDescent="0.3">
      <c r="D440" s="2">
        <v>440</v>
      </c>
      <c r="L440" s="24">
        <f>IF('3. Detention'!$Z$7&gt;0.2*($P440),('3. Detention'!$Z$7-0.2*($P440))^2/('3. Detention'!$Z$7+0.8*($P440)),0)</f>
        <v>1.3494552212797366</v>
      </c>
      <c r="M440" s="24">
        <f>IF('3. Detention'!$AE$7&gt;0.2*($P440),('3. Detention'!$AE$7-0.2*($P440))^2/('3. Detention'!$AE$7+0.8*($P440)),0)</f>
        <v>3.0850206457622371</v>
      </c>
      <c r="N440" s="24">
        <f>IF('3. Detention'!$AJ$7&gt;0.2*($P440),('3. Detention'!$AJ$7-0.2*($P440))^2/('3. Detention'!$AJ$7+0.8*($P440)),0)</f>
        <v>5.9325240909656927</v>
      </c>
      <c r="O440" s="61">
        <f t="shared" si="12"/>
        <v>79.899999999999437</v>
      </c>
      <c r="P440" s="24">
        <f t="shared" si="13"/>
        <v>2.5156445556947062</v>
      </c>
    </row>
    <row r="441" spans="4:16" x14ac:dyDescent="0.3">
      <c r="D441" s="2">
        <v>441</v>
      </c>
      <c r="L441" s="24">
        <f>IF('3. Detention'!$Z$7&gt;0.2*($P441),('3. Detention'!$Z$7-0.2*($P441))^2/('3. Detention'!$Z$7+0.8*($P441)),0)</f>
        <v>1.3559533073929591</v>
      </c>
      <c r="M441" s="24">
        <f>IF('3. Detention'!$AE$7&gt;0.2*($P441),('3. Detention'!$AE$7-0.2*($P441))^2/('3. Detention'!$AE$7+0.8*($P441)),0)</f>
        <v>3.0944536652834871</v>
      </c>
      <c r="N441" s="24">
        <f>IF('3. Detention'!$AJ$7&gt;0.2*($P441),('3. Detention'!$AJ$7-0.2*($P441))^2/('3. Detention'!$AJ$7+0.8*($P441)),0)</f>
        <v>5.9444487427465473</v>
      </c>
      <c r="O441" s="61">
        <f t="shared" si="12"/>
        <v>79.999999999999432</v>
      </c>
      <c r="P441" s="24">
        <f t="shared" si="13"/>
        <v>2.5000000000000888</v>
      </c>
    </row>
    <row r="442" spans="4:16" x14ac:dyDescent="0.3">
      <c r="D442" s="2">
        <v>442</v>
      </c>
      <c r="L442" s="24">
        <f>IF('3. Detention'!$Z$7&gt;0.2*($P442),('3. Detention'!$Z$7-0.2*($P442))^2/('3. Detention'!$Z$7+0.8*($P442)),0)</f>
        <v>1.362470576300397</v>
      </c>
      <c r="M442" s="24">
        <f>IF('3. Detention'!$AE$7&gt;0.2*($P442),('3. Detention'!$AE$7-0.2*($P442))^2/('3. Detention'!$AE$7+0.8*($P442)),0)</f>
        <v>3.1038984269344514</v>
      </c>
      <c r="N442" s="24">
        <f>IF('3. Detention'!$AJ$7&gt;0.2*($P442),('3. Detention'!$AJ$7-0.2*($P442))^2/('3. Detention'!$AJ$7+0.8*($P442)),0)</f>
        <v>5.9563743031289826</v>
      </c>
      <c r="O442" s="61">
        <f t="shared" si="12"/>
        <v>80.099999999999426</v>
      </c>
      <c r="P442" s="24">
        <f t="shared" si="13"/>
        <v>2.4843945068665061</v>
      </c>
    </row>
    <row r="443" spans="4:16" x14ac:dyDescent="0.3">
      <c r="D443" s="2">
        <v>443</v>
      </c>
      <c r="L443" s="24">
        <f>IF('3. Detention'!$Z$7&gt;0.2*($P443),('3. Detention'!$Z$7-0.2*($P443))^2/('3. Detention'!$Z$7+0.8*($P443)),0)</f>
        <v>1.3690070819324061</v>
      </c>
      <c r="M443" s="24">
        <f>IF('3. Detention'!$AE$7&gt;0.2*($P443),('3. Detention'!$AE$7-0.2*($P443))^2/('3. Detention'!$AE$7+0.8*($P443)),0)</f>
        <v>3.11335493748672</v>
      </c>
      <c r="N443" s="24">
        <f>IF('3. Detention'!$AJ$7&gt;0.2*($P443),('3. Detention'!$AJ$7-0.2*($P443))^2/('3. Detention'!$AJ$7+0.8*($P443)),0)</f>
        <v>5.9683007649358197</v>
      </c>
      <c r="O443" s="61">
        <f t="shared" si="12"/>
        <v>80.19999999999942</v>
      </c>
      <c r="P443" s="24">
        <f t="shared" si="13"/>
        <v>2.468827930174653</v>
      </c>
    </row>
    <row r="444" spans="4:16" x14ac:dyDescent="0.3">
      <c r="D444" s="2">
        <v>444</v>
      </c>
      <c r="L444" s="24">
        <f>IF('3. Detention'!$Z$7&gt;0.2*($P444),('3. Detention'!$Z$7-0.2*($P444))^2/('3. Detention'!$Z$7+0.8*($P444)),0)</f>
        <v>1.3755628785462664</v>
      </c>
      <c r="M444" s="24">
        <f>IF('3. Detention'!$AE$7&gt;0.2*($P444),('3. Detention'!$AE$7-0.2*($P444))^2/('3. Detention'!$AE$7+0.8*($P444)),0)</f>
        <v>3.1228232037752868</v>
      </c>
      <c r="N444" s="24">
        <f>IF('3. Detention'!$AJ$7&gt;0.2*($P444),('3. Detention'!$AJ$7-0.2*($P444))^2/('3. Detention'!$AJ$7+0.8*($P444)),0)</f>
        <v>5.9802281210262551</v>
      </c>
      <c r="O444" s="61">
        <f t="shared" si="12"/>
        <v>80.299999999999415</v>
      </c>
      <c r="P444" s="24">
        <f t="shared" si="13"/>
        <v>2.4533001245330919</v>
      </c>
    </row>
    <row r="445" spans="4:16" x14ac:dyDescent="0.3">
      <c r="D445" s="2">
        <v>445</v>
      </c>
      <c r="L445" s="24">
        <f>IF('3. Detention'!$Z$7&gt;0.2*($P445),('3. Detention'!$Z$7-0.2*($P445))^2/('3. Detention'!$Z$7+0.8*($P445)),0)</f>
        <v>1.3821380207276845</v>
      </c>
      <c r="M445" s="24">
        <f>IF('3. Detention'!$AE$7&gt;0.2*($P445),('3. Detention'!$AE$7-0.2*($P445))^2/('3. Detention'!$AE$7+0.8*($P445)),0)</f>
        <v>3.13230323269838</v>
      </c>
      <c r="N445" s="24">
        <f>IF('3. Detention'!$AJ$7&gt;0.2*($P445),('3. Detention'!$AJ$7-0.2*($P445))^2/('3. Detention'!$AJ$7+0.8*($P445)),0)</f>
        <v>5.9921563642956261</v>
      </c>
      <c r="O445" s="61">
        <f t="shared" si="12"/>
        <v>80.399999999999409</v>
      </c>
      <c r="P445" s="24">
        <f t="shared" si="13"/>
        <v>2.4378109452737231</v>
      </c>
    </row>
    <row r="446" spans="4:16" x14ac:dyDescent="0.3">
      <c r="D446" s="2">
        <v>446</v>
      </c>
      <c r="L446" s="24">
        <f>IF('3. Detention'!$Z$7&gt;0.2*($P446),('3. Detention'!$Z$7-0.2*($P446))^2/('3. Detention'!$Z$7+0.8*($P446)),0)</f>
        <v>1.3887325633923038</v>
      </c>
      <c r="M446" s="24">
        <f>IF('3. Detention'!$AE$7&gt;0.2*($P446),('3. Detention'!$AE$7-0.2*($P446))^2/('3. Detention'!$AE$7+0.8*($P446)),0)</f>
        <v>3.1417950312173084</v>
      </c>
      <c r="N446" s="24">
        <f>IF('3. Detention'!$AJ$7&gt;0.2*($P446),('3. Detention'!$AJ$7-0.2*($P446))^2/('3. Detention'!$AJ$7+0.8*($P446)),0)</f>
        <v>6.0040854876751979</v>
      </c>
      <c r="O446" s="61">
        <f t="shared" si="12"/>
        <v>80.499999999999403</v>
      </c>
      <c r="P446" s="24">
        <f t="shared" si="13"/>
        <v>2.4223602484472977</v>
      </c>
    </row>
    <row r="447" spans="4:16" x14ac:dyDescent="0.3">
      <c r="D447" s="2">
        <v>447</v>
      </c>
      <c r="L447" s="24">
        <f>IF('3. Detention'!$Z$7&gt;0.2*($P447),('3. Detention'!$Z$7-0.2*($P447))^2/('3. Detention'!$Z$7+0.8*($P447)),0)</f>
        <v>1.3953465617872316</v>
      </c>
      <c r="M447" s="24">
        <f>IF('3. Detention'!$AE$7&gt;0.2*($P447),('3. Detention'!$AE$7-0.2*($P447))^2/('3. Detention'!$AE$7+0.8*($P447)),0)</f>
        <v>3.1512986063563027</v>
      </c>
      <c r="N447" s="24">
        <f>IF('3. Detention'!$AJ$7&gt;0.2*($P447),('3. Detention'!$AJ$7-0.2*($P447))^2/('3. Detention'!$AJ$7+0.8*($P447)),0)</f>
        <v>6.0160154841319287</v>
      </c>
      <c r="O447" s="61">
        <f t="shared" si="12"/>
        <v>80.599999999999397</v>
      </c>
      <c r="P447" s="24">
        <f t="shared" si="13"/>
        <v>2.4069478908189517</v>
      </c>
    </row>
    <row r="448" spans="4:16" x14ac:dyDescent="0.3">
      <c r="D448" s="2">
        <v>448</v>
      </c>
      <c r="L448" s="24">
        <f>IF('3. Detention'!$Z$7&gt;0.2*($P448),('3. Detention'!$Z$7-0.2*($P448))^2/('3. Detention'!$Z$7+0.8*($P448)),0)</f>
        <v>1.4019800714925799</v>
      </c>
      <c r="M448" s="24">
        <f>IF('3. Detention'!$AE$7&gt;0.2*($P448),('3. Detention'!$AE$7-0.2*($P448))^2/('3. Detention'!$AE$7+0.8*($P448)),0)</f>
        <v>3.1608139652023541</v>
      </c>
      <c r="N448" s="24">
        <f>IF('3. Detention'!$AJ$7&gt;0.2*($P448),('3. Detention'!$AJ$7-0.2*($P448))^2/('3. Detention'!$AJ$7+0.8*($P448)),0)</f>
        <v>6.0279463466682541</v>
      </c>
      <c r="O448" s="61">
        <f t="shared" si="12"/>
        <v>80.699999999999392</v>
      </c>
      <c r="P448" s="24">
        <f t="shared" si="13"/>
        <v>2.3915737298637865</v>
      </c>
    </row>
    <row r="449" spans="4:16" x14ac:dyDescent="0.3">
      <c r="D449" s="2">
        <v>449</v>
      </c>
      <c r="L449" s="24">
        <f>IF('3. Detention'!$Z$7&gt;0.2*($P449),('3. Detention'!$Z$7-0.2*($P449))^2/('3. Detention'!$Z$7+0.8*($P449)),0)</f>
        <v>1.4086331484230228</v>
      </c>
      <c r="M449" s="24">
        <f>IF('3. Detention'!$AE$7&gt;0.2*($P449),('3. Detention'!$AE$7-0.2*($P449))^2/('3. Detention'!$AE$7+0.8*($P449)),0)</f>
        <v>3.1703411149050669</v>
      </c>
      <c r="N449" s="24">
        <f>IF('3. Detention'!$AJ$7&gt;0.2*($P449),('3. Detention'!$AJ$7-0.2*($P449))^2/('3. Detention'!$AJ$7+0.8*($P449)),0)</f>
        <v>6.0398780683218689</v>
      </c>
      <c r="O449" s="61">
        <f t="shared" si="12"/>
        <v>80.799999999999386</v>
      </c>
      <c r="P449" s="24">
        <f t="shared" si="13"/>
        <v>2.3762376237624707</v>
      </c>
    </row>
    <row r="450" spans="4:16" x14ac:dyDescent="0.3">
      <c r="D450" s="2">
        <v>450</v>
      </c>
      <c r="L450" s="24">
        <f>IF('3. Detention'!$Z$7&gt;0.2*($P450),('3. Detention'!$Z$7-0.2*($P450))^2/('3. Detention'!$Z$7+0.8*($P450)),0)</f>
        <v>1.4153058488293633</v>
      </c>
      <c r="M450" s="24">
        <f>IF('3. Detention'!$AE$7&gt;0.2*($P450),('3. Detention'!$AE$7-0.2*($P450))^2/('3. Detention'!$AE$7+0.8*($P450)),0)</f>
        <v>3.1798800626765042</v>
      </c>
      <c r="N450" s="24">
        <f>IF('3. Detention'!$AJ$7&gt;0.2*($P450),('3. Detention'!$AJ$7-0.2*($P450))^2/('3. Detention'!$AJ$7+0.8*($P450)),0)</f>
        <v>6.051810642165508</v>
      </c>
      <c r="O450" s="61">
        <f t="shared" si="12"/>
        <v>80.89999999999938</v>
      </c>
      <c r="P450" s="24">
        <f t="shared" si="13"/>
        <v>2.360939431396881</v>
      </c>
    </row>
    <row r="451" spans="4:16" x14ac:dyDescent="0.3">
      <c r="D451" s="2">
        <v>451</v>
      </c>
      <c r="L451" s="24">
        <f>IF('3. Detention'!$Z$7&gt;0.2*($P451),('3. Detention'!$Z$7-0.2*($P451))^2/('3. Detention'!$Z$7+0.8*($P451)),0)</f>
        <v>1.4219982293001181</v>
      </c>
      <c r="M451" s="24">
        <f>IF('3. Detention'!$AE$7&gt;0.2*($P451),('3. Detention'!$AE$7-0.2*($P451))^2/('3. Detention'!$AE$7+0.8*($P451)),0)</f>
        <v>3.1894308157910345</v>
      </c>
      <c r="N451" s="24">
        <f>IF('3. Detention'!$AJ$7&gt;0.2*($P451),('3. Detention'!$AJ$7-0.2*($P451))^2/('3. Detention'!$AJ$7+0.8*($P451)),0)</f>
        <v>6.0637440613067231</v>
      </c>
      <c r="O451" s="61">
        <f t="shared" si="12"/>
        <v>80.999999999999375</v>
      </c>
      <c r="P451" s="24">
        <f t="shared" si="13"/>
        <v>2.3456790123457747</v>
      </c>
    </row>
    <row r="452" spans="4:16" x14ac:dyDescent="0.3">
      <c r="D452" s="2">
        <v>452</v>
      </c>
      <c r="L452" s="24">
        <f>IF('3. Detention'!$Z$7&gt;0.2*($P452),('3. Detention'!$Z$7-0.2*($P452))^2/('3. Detention'!$Z$7+0.8*($P452)),0)</f>
        <v>1.4287103467631181</v>
      </c>
      <c r="M452" s="24">
        <f>IF('3. Detention'!$AE$7&gt;0.2*($P452),('3. Detention'!$AE$7-0.2*($P452))^2/('3. Detention'!$AE$7+0.8*($P452)),0)</f>
        <v>3.198993381585185</v>
      </c>
      <c r="N452" s="24">
        <f>IF('3. Detention'!$AJ$7&gt;0.2*($P452),('3. Detention'!$AJ$7-0.2*($P452))^2/('3. Detention'!$AJ$7+0.8*($P452)),0)</f>
        <v>6.0756783188876797</v>
      </c>
      <c r="O452" s="61">
        <f t="shared" si="12"/>
        <v>81.099999999999369</v>
      </c>
      <c r="P452" s="24">
        <f t="shared" si="13"/>
        <v>2.3304562268804911</v>
      </c>
    </row>
    <row r="453" spans="4:16" x14ac:dyDescent="0.3">
      <c r="D453" s="2">
        <v>453</v>
      </c>
      <c r="L453" s="24">
        <f>IF('3. Detention'!$Z$7&gt;0.2*($P453),('3. Detention'!$Z$7-0.2*($P453))^2/('3. Detention'!$Z$7+0.8*($P453)),0)</f>
        <v>1.4354422584871178</v>
      </c>
      <c r="M453" s="24">
        <f>IF('3. Detention'!$AE$7&gt;0.2*($P453),('3. Detention'!$AE$7-0.2*($P453))^2/('3. Detention'!$AE$7+0.8*($P453)),0)</f>
        <v>3.2085677674574984</v>
      </c>
      <c r="N453" s="24">
        <f>IF('3. Detention'!$AJ$7&gt;0.2*($P453),('3. Detention'!$AJ$7-0.2*($P453))^2/('3. Detention'!$AJ$7+0.8*($P453)),0)</f>
        <v>6.0876134080849384</v>
      </c>
      <c r="O453" s="61">
        <f t="shared" si="12"/>
        <v>81.199999999999363</v>
      </c>
      <c r="P453" s="24">
        <f t="shared" si="13"/>
        <v>2.3152709359606884</v>
      </c>
    </row>
    <row r="454" spans="4:16" x14ac:dyDescent="0.3">
      <c r="D454" s="2">
        <v>454</v>
      </c>
      <c r="L454" s="24">
        <f>IF('3. Detention'!$Z$7&gt;0.2*($P454),('3. Detention'!$Z$7-0.2*($P454))^2/('3. Detention'!$Z$7+0.8*($P454)),0)</f>
        <v>1.4421940220834293</v>
      </c>
      <c r="M454" s="24">
        <f>IF('3. Detention'!$AE$7&gt;0.2*($P454),('3. Detention'!$AE$7-0.2*($P454))^2/('3. Detention'!$AE$7+0.8*($P454)),0)</f>
        <v>3.218153980868383</v>
      </c>
      <c r="N454" s="24">
        <f>IF('3. Detention'!$AJ$7&gt;0.2*($P454),('3. Detention'!$AJ$7-0.2*($P454))^2/('3. Detention'!$AJ$7+0.8*($P454)),0)</f>
        <v>6.0995493221092429</v>
      </c>
      <c r="O454" s="61">
        <f t="shared" si="12"/>
        <v>81.299999999999358</v>
      </c>
      <c r="P454" s="24">
        <f t="shared" si="13"/>
        <v>2.3001230012301086</v>
      </c>
    </row>
    <row r="455" spans="4:16" x14ac:dyDescent="0.3">
      <c r="D455" s="2">
        <v>455</v>
      </c>
      <c r="L455" s="24">
        <f>IF('3. Detention'!$Z$7&gt;0.2*($P455),('3. Detention'!$Z$7-0.2*($P455))^2/('3. Detention'!$Z$7+0.8*($P455)),0)</f>
        <v>1.4489656955075554</v>
      </c>
      <c r="M455" s="24">
        <f>IF('3. Detention'!$AE$7&gt;0.2*($P455),('3. Detention'!$AE$7-0.2*($P455))^2/('3. Detention'!$AE$7+0.8*($P455)),0)</f>
        <v>3.2277520293399653</v>
      </c>
      <c r="N455" s="24">
        <f>IF('3. Detention'!$AJ$7&gt;0.2*($P455),('3. Detention'!$AJ$7-0.2*($P455))^2/('3. Detention'!$AJ$7+0.8*($P455)),0)</f>
        <v>6.1114860542053</v>
      </c>
      <c r="O455" s="61">
        <f t="shared" si="12"/>
        <v>81.399999999999352</v>
      </c>
      <c r="P455" s="24">
        <f t="shared" si="13"/>
        <v>2.2850122850123835</v>
      </c>
    </row>
    <row r="456" spans="4:16" x14ac:dyDescent="0.3">
      <c r="D456" s="2">
        <v>456</v>
      </c>
      <c r="L456" s="24">
        <f>IF('3. Detention'!$Z$7&gt;0.2*($P456),('3. Detention'!$Z$7-0.2*($P456))^2/('3. Detention'!$Z$7+0.8*($P456)),0)</f>
        <v>1.4557573370608603</v>
      </c>
      <c r="M456" s="24">
        <f>IF('3. Detention'!$AE$7&gt;0.2*($P456),('3. Detention'!$AE$7-0.2*($P456))^2/('3. Detention'!$AE$7+0.8*($P456)),0)</f>
        <v>3.2373619204559625</v>
      </c>
      <c r="N456" s="24">
        <f>IF('3. Detention'!$AJ$7&gt;0.2*($P456),('3. Detention'!$AJ$7-0.2*($P456))^2/('3. Detention'!$AJ$7+0.8*($P456)),0)</f>
        <v>6.1234235976515992</v>
      </c>
      <c r="O456" s="61">
        <f t="shared" si="12"/>
        <v>81.499999999999346</v>
      </c>
      <c r="P456" s="24">
        <f t="shared" si="13"/>
        <v>2.2699386503068464</v>
      </c>
    </row>
    <row r="457" spans="4:16" x14ac:dyDescent="0.3">
      <c r="D457" s="2">
        <v>457</v>
      </c>
      <c r="L457" s="24">
        <f>IF('3. Detention'!$Z$7&gt;0.2*($P457),('3. Detention'!$Z$7-0.2*($P457))^2/('3. Detention'!$Z$7+0.8*($P457)),0)</f>
        <v>1.4625690053922287</v>
      </c>
      <c r="M457" s="24">
        <f>IF('3. Detention'!$AE$7&gt;0.2*($P457),('3. Detention'!$AE$7-0.2*($P457))^2/('3. Detention'!$AE$7+0.8*($P457)),0)</f>
        <v>3.2469836618615262</v>
      </c>
      <c r="N457" s="24">
        <f>IF('3. Detention'!$AJ$7&gt;0.2*($P457),('3. Detention'!$AJ$7-0.2*($P457))^2/('3. Detention'!$AJ$7+0.8*($P457)),0)</f>
        <v>6.1353619457601711</v>
      </c>
      <c r="O457" s="61">
        <f t="shared" si="12"/>
        <v>81.599999999999341</v>
      </c>
      <c r="P457" s="24">
        <f t="shared" si="13"/>
        <v>2.2549019607844123</v>
      </c>
    </row>
    <row r="458" spans="4:16" x14ac:dyDescent="0.3">
      <c r="D458" s="2">
        <v>458</v>
      </c>
      <c r="L458" s="24">
        <f>IF('3. Detention'!$Z$7&gt;0.2*($P458),('3. Detention'!$Z$7-0.2*($P458))^2/('3. Detention'!$Z$7+0.8*($P458)),0)</f>
        <v>1.4694007594997636</v>
      </c>
      <c r="M458" s="24">
        <f>IF('3. Detention'!$AE$7&gt;0.2*($P458),('3. Detention'!$AE$7-0.2*($P458))^2/('3. Detention'!$AE$7+0.8*($P458)),0)</f>
        <v>3.2566172612631146</v>
      </c>
      <c r="N458" s="24">
        <f>IF('3. Detention'!$AJ$7&gt;0.2*($P458),('3. Detention'!$AJ$7-0.2*($P458))^2/('3. Detention'!$AJ$7+0.8*($P458)),0)</f>
        <v>6.1473010918764066</v>
      </c>
      <c r="O458" s="61">
        <f t="shared" si="12"/>
        <v>81.699999999999335</v>
      </c>
      <c r="P458" s="24">
        <f t="shared" si="13"/>
        <v>2.2399020807834535</v>
      </c>
    </row>
    <row r="459" spans="4:16" x14ac:dyDescent="0.3">
      <c r="D459" s="2">
        <v>459</v>
      </c>
      <c r="L459" s="24">
        <f>IF('3. Detention'!$Z$7&gt;0.2*($P459),('3. Detention'!$Z$7-0.2*($P459))^2/('3. Detention'!$Z$7+0.8*($P459)),0)</f>
        <v>1.4762526587324862</v>
      </c>
      <c r="M459" s="24">
        <f>IF('3. Detention'!$AE$7&gt;0.2*($P459),('3. Detention'!$AE$7-0.2*($P459))^2/('3. Detention'!$AE$7+0.8*($P459)),0)</f>
        <v>3.2662627264283541</v>
      </c>
      <c r="N459" s="24">
        <f>IF('3. Detention'!$AJ$7&gt;0.2*($P459),('3. Detention'!$AJ$7-0.2*($P459))^2/('3. Detention'!$AJ$7+0.8*($P459)),0)</f>
        <v>6.159241029378844</v>
      </c>
      <c r="O459" s="61">
        <f t="shared" si="12"/>
        <v>81.799999999999329</v>
      </c>
      <c r="P459" s="24">
        <f t="shared" si="13"/>
        <v>2.2249388753057229</v>
      </c>
    </row>
    <row r="460" spans="4:16" x14ac:dyDescent="0.3">
      <c r="D460" s="2">
        <v>460</v>
      </c>
      <c r="L460" s="24">
        <f>IF('3. Detention'!$Z$7&gt;0.2*($P460),('3. Detention'!$Z$7-0.2*($P460))^2/('3. Detention'!$Z$7+0.8*($P460)),0)</f>
        <v>1.4831247627920514</v>
      </c>
      <c r="M460" s="24">
        <f>IF('3. Detention'!$AE$7&gt;0.2*($P460),('3. Detention'!$AE$7-0.2*($P460))^2/('3. Detention'!$AE$7+0.8*($P460)),0)</f>
        <v>3.2759200651859008</v>
      </c>
      <c r="N460" s="24">
        <f>IF('3. Detention'!$AJ$7&gt;0.2*($P460),('3. Detention'!$AJ$7-0.2*($P460))^2/('3. Detention'!$AJ$7+0.8*($P460)),0)</f>
        <v>6.1711817516789624</v>
      </c>
      <c r="O460" s="61">
        <f t="shared" si="12"/>
        <v>81.899999999999324</v>
      </c>
      <c r="P460" s="24">
        <f t="shared" si="13"/>
        <v>2.2100122100123105</v>
      </c>
    </row>
    <row r="461" spans="4:16" x14ac:dyDescent="0.3">
      <c r="D461" s="2">
        <v>461</v>
      </c>
      <c r="L461" s="24">
        <f>IF('3. Detention'!$Z$7&gt;0.2*($P461),('3. Detention'!$Z$7-0.2*($P461))^2/('3. Detention'!$Z$7+0.8*($P461)),0)</f>
        <v>1.4900171317344864</v>
      </c>
      <c r="M461" s="24">
        <f>IF('3. Detention'!$AE$7&gt;0.2*($P461),('3. Detention'!$AE$7-0.2*($P461))^2/('3. Detention'!$AE$7+0.8*($P461)),0)</f>
        <v>3.2855892854253099</v>
      </c>
      <c r="N461" s="24">
        <f>IF('3. Detention'!$AJ$7&gt;0.2*($P461),('3. Detention'!$AJ$7-0.2*($P461))^2/('3. Detention'!$AJ$7+0.8*($P461)),0)</f>
        <v>6.18312325222099</v>
      </c>
      <c r="O461" s="61">
        <f t="shared" si="12"/>
        <v>81.999999999999318</v>
      </c>
      <c r="P461" s="24">
        <f t="shared" si="13"/>
        <v>2.1951219512196136</v>
      </c>
    </row>
    <row r="462" spans="4:16" x14ac:dyDescent="0.3">
      <c r="D462" s="2">
        <v>462</v>
      </c>
      <c r="L462" s="24">
        <f>IF('3. Detention'!$Z$7&gt;0.2*($P462),('3. Detention'!$Z$7-0.2*($P462))^2/('3. Detention'!$Z$7+0.8*($P462)),0)</f>
        <v>1.4969298259719368</v>
      </c>
      <c r="M462" s="24">
        <f>IF('3. Detention'!$AE$7&gt;0.2*($P462),('3. Detention'!$AE$7-0.2*($P462))^2/('3. Detention'!$AE$7+0.8*($P462)),0)</f>
        <v>3.2952703950969067</v>
      </c>
      <c r="N462" s="24">
        <f>IF('3. Detention'!$AJ$7&gt;0.2*($P462),('3. Detention'!$AJ$7-0.2*($P462))^2/('3. Detention'!$AJ$7+0.8*($P462)),0)</f>
        <v>6.1950655244816986</v>
      </c>
      <c r="O462" s="61">
        <f t="shared" si="12"/>
        <v>82.099999999999312</v>
      </c>
      <c r="P462" s="24">
        <f t="shared" si="13"/>
        <v>2.1802679658953519</v>
      </c>
    </row>
    <row r="463" spans="4:16" x14ac:dyDescent="0.3">
      <c r="D463" s="2">
        <v>463</v>
      </c>
      <c r="L463" s="24">
        <f>IF('3. Detention'!$Z$7&gt;0.2*($P463),('3. Detention'!$Z$7-0.2*($P463))^2/('3. Detention'!$Z$7+0.8*($P463)),0)</f>
        <v>1.5038629062744331</v>
      </c>
      <c r="M463" s="24">
        <f>IF('3. Detention'!$AE$7&gt;0.2*($P463),('3. Detention'!$AE$7-0.2*($P463))^2/('3. Detention'!$AE$7+0.8*($P463)),0)</f>
        <v>3.3049634022116514</v>
      </c>
      <c r="N463" s="24">
        <f>IF('3. Detention'!$AJ$7&gt;0.2*($P463),('3. Detention'!$AJ$7-0.2*($P463))^2/('3. Detention'!$AJ$7+0.8*($P463)),0)</f>
        <v>6.2070085619702091</v>
      </c>
      <c r="O463" s="61">
        <f t="shared" si="12"/>
        <v>82.199999999999307</v>
      </c>
      <c r="P463" s="24">
        <f t="shared" si="13"/>
        <v>2.1654501216546045</v>
      </c>
    </row>
    <row r="464" spans="4:16" x14ac:dyDescent="0.3">
      <c r="D464" s="2">
        <v>464</v>
      </c>
      <c r="L464" s="24">
        <f>IF('3. Detention'!$Z$7&gt;0.2*($P464),('3. Detention'!$Z$7-0.2*($P464))^2/('3. Detention'!$Z$7+0.8*($P464)),0)</f>
        <v>1.5108164337716705</v>
      </c>
      <c r="M464" s="24">
        <f>IF('3. Detention'!$AE$7&gt;0.2*($P464),('3. Detention'!$AE$7-0.2*($P464))^2/('3. Detention'!$AE$7+0.8*($P464)),0)</f>
        <v>3.314668314841017</v>
      </c>
      <c r="N464" s="24">
        <f>IF('3. Detention'!$AJ$7&gt;0.2*($P464),('3. Detention'!$AJ$7-0.2*($P464))^2/('3. Detention'!$AJ$7+0.8*($P464)),0)</f>
        <v>6.2189523582277895</v>
      </c>
      <c r="O464" s="61">
        <f t="shared" si="12"/>
        <v>82.299999999999301</v>
      </c>
      <c r="P464" s="24">
        <f t="shared" si="13"/>
        <v>2.1506682867558755</v>
      </c>
    </row>
    <row r="465" spans="4:16" x14ac:dyDescent="0.3">
      <c r="D465" s="2">
        <v>465</v>
      </c>
      <c r="L465" s="24">
        <f>IF('3. Detention'!$Z$7&gt;0.2*($P465),('3. Detention'!$Z$7-0.2*($P465))^2/('3. Detention'!$Z$7+0.8*($P465)),0)</f>
        <v>1.5177904699548073</v>
      </c>
      <c r="M465" s="24">
        <f>IF('3. Detention'!$AE$7&gt;0.2*($P465),('3. Detention'!$AE$7-0.2*($P465))^2/('3. Detention'!$AE$7+0.8*($P465)),0)</f>
        <v>3.3243851411168555</v>
      </c>
      <c r="N465" s="24">
        <f>IF('3. Detention'!$AJ$7&gt;0.2*($P465),('3. Detention'!$AJ$7-0.2*($P465))^2/('3. Detention'!$AJ$7+0.8*($P465)),0)</f>
        <v>6.2308969068276623</v>
      </c>
      <c r="O465" s="61">
        <f t="shared" si="12"/>
        <v>82.399999999999295</v>
      </c>
      <c r="P465" s="24">
        <f t="shared" si="13"/>
        <v>2.1359223300971912</v>
      </c>
    </row>
    <row r="466" spans="4:16" x14ac:dyDescent="0.3">
      <c r="D466" s="2">
        <v>466</v>
      </c>
      <c r="L466" s="24">
        <f>IF('3. Detention'!$Z$7&gt;0.2*($P466),('3. Detention'!$Z$7-0.2*($P466))^2/('3. Detention'!$Z$7+0.8*($P466)),0)</f>
        <v>1.5247850766782731</v>
      </c>
      <c r="M466" s="24">
        <f>IF('3. Detention'!$AE$7&gt;0.2*($P466),('3. Detention'!$AE$7-0.2*($P466))^2/('3. Detention'!$AE$7+0.8*($P466)),0)</f>
        <v>3.3341138892312792</v>
      </c>
      <c r="N466" s="24">
        <f>IF('3. Detention'!$AJ$7&gt;0.2*($P466),('3. Detention'!$AJ$7-0.2*($P466))^2/('3. Detention'!$AJ$7+0.8*($P466)),0)</f>
        <v>6.2428422013748133</v>
      </c>
      <c r="O466" s="61">
        <f t="shared" si="12"/>
        <v>82.499999999999289</v>
      </c>
      <c r="P466" s="24">
        <f t="shared" si="13"/>
        <v>2.1212121212122259</v>
      </c>
    </row>
    <row r="467" spans="4:16" x14ac:dyDescent="0.3">
      <c r="D467" s="2">
        <v>467</v>
      </c>
      <c r="L467" s="24">
        <f>IF('3. Detention'!$Z$7&gt;0.2*($P467),('3. Detention'!$Z$7-0.2*($P467))^2/('3. Detention'!$Z$7+0.8*($P467)),0)</f>
        <v>1.5318003161616043</v>
      </c>
      <c r="M467" s="24">
        <f>IF('3. Detention'!$AE$7&gt;0.2*($P467),('3. Detention'!$AE$7-0.2*($P467))^2/('3. Detention'!$AE$7+0.8*($P467)),0)</f>
        <v>3.3438545674365354</v>
      </c>
      <c r="N467" s="24">
        <f>IF('3. Detention'!$AJ$7&gt;0.2*($P467),('3. Detention'!$AJ$7-0.2*($P467))^2/('3. Detention'!$AJ$7+0.8*($P467)),0)</f>
        <v>6.2547882355057984</v>
      </c>
      <c r="O467" s="61">
        <f t="shared" si="12"/>
        <v>82.599999999999284</v>
      </c>
      <c r="P467" s="24">
        <f t="shared" si="13"/>
        <v>2.1065375302664489</v>
      </c>
    </row>
    <row r="468" spans="4:16" x14ac:dyDescent="0.3">
      <c r="D468" s="2">
        <v>468</v>
      </c>
      <c r="L468" s="24">
        <f>IF('3. Detention'!$Z$7&gt;0.2*($P468),('3. Detention'!$Z$7-0.2*($P468))^2/('3. Detention'!$Z$7+0.8*($P468)),0)</f>
        <v>1.5388362509912823</v>
      </c>
      <c r="M468" s="24">
        <f>IF('3. Detention'!$AE$7&gt;0.2*($P468),('3. Detention'!$AE$7-0.2*($P468))^2/('3. Detention'!$AE$7+0.8*($P468)),0)</f>
        <v>3.3536071840448813</v>
      </c>
      <c r="N468" s="24">
        <f>IF('3. Detention'!$AJ$7&gt;0.2*($P468),('3. Detention'!$AJ$7-0.2*($P468))^2/('3. Detention'!$AJ$7+0.8*($P468)),0)</f>
        <v>6.2667350028885442</v>
      </c>
      <c r="O468" s="61">
        <f t="shared" si="12"/>
        <v>82.699999999999278</v>
      </c>
      <c r="P468" s="24">
        <f t="shared" si="13"/>
        <v>2.0918984280533106</v>
      </c>
    </row>
    <row r="469" spans="4:16" x14ac:dyDescent="0.3">
      <c r="D469" s="2">
        <v>469</v>
      </c>
      <c r="L469" s="24">
        <f>IF('3. Detention'!$Z$7&gt;0.2*($P469),('3. Detention'!$Z$7-0.2*($P469))^2/('3. Detention'!$Z$7+0.8*($P469)),0)</f>
        <v>1.5458929441226004</v>
      </c>
      <c r="M469" s="24">
        <f>IF('3. Detention'!$AE$7&gt;0.2*($P469),('3. Detention'!$AE$7-0.2*($P469))^2/('3. Detention'!$AE$7+0.8*($P469)),0)</f>
        <v>3.3633717474284714</v>
      </c>
      <c r="N469" s="24">
        <f>IF('3. Detention'!$AJ$7&gt;0.2*($P469),('3. Detention'!$AJ$7-0.2*($P469))^2/('3. Detention'!$AJ$7+0.8*($P469)),0)</f>
        <v>6.278682497222178</v>
      </c>
      <c r="O469" s="61">
        <f t="shared" si="12"/>
        <v>82.799999999999272</v>
      </c>
      <c r="P469" s="24">
        <f t="shared" si="13"/>
        <v>2.0772946859904451</v>
      </c>
    </row>
    <row r="470" spans="4:16" x14ac:dyDescent="0.3">
      <c r="D470" s="2">
        <v>470</v>
      </c>
      <c r="L470" s="24">
        <f>IF('3. Detention'!$Z$7&gt;0.2*($P470),('3. Detention'!$Z$7-0.2*($P470))^2/('3. Detention'!$Z$7+0.8*($P470)),0)</f>
        <v>1.5529704588815363</v>
      </c>
      <c r="M470" s="24">
        <f>IF('3. Detention'!$AE$7&gt;0.2*($P470),('3. Detention'!$AE$7-0.2*($P470))^2/('3. Detention'!$AE$7+0.8*($P470)),0)</f>
        <v>3.373148266019232</v>
      </c>
      <c r="N470" s="24">
        <f>IF('3. Detention'!$AJ$7&gt;0.2*($P470),('3. Detention'!$AJ$7-0.2*($P470))^2/('3. Detention'!$AJ$7+0.8*($P470)),0)</f>
        <v>6.2906307122368146</v>
      </c>
      <c r="O470" s="61">
        <f t="shared" si="12"/>
        <v>82.899999999999267</v>
      </c>
      <c r="P470" s="24">
        <f t="shared" si="13"/>
        <v>2.062726176115909</v>
      </c>
    </row>
    <row r="471" spans="4:16" x14ac:dyDescent="0.3">
      <c r="D471" s="2">
        <v>471</v>
      </c>
      <c r="L471" s="24">
        <f>IF('3. Detention'!$Z$7&gt;0.2*($P471),('3. Detention'!$Z$7-0.2*($P471))^2/('3. Detention'!$Z$7+0.8*($P471)),0)</f>
        <v>1.56006885896665</v>
      </c>
      <c r="M471" s="24">
        <f>IF('3. Detention'!$AE$7&gt;0.2*($P471),('3. Detention'!$AE$7-0.2*($P471))^2/('3. Detention'!$AE$7+0.8*($P471)),0)</f>
        <v>3.3829367483087456</v>
      </c>
      <c r="N471" s="24">
        <f>IF('3. Detention'!$AJ$7&gt;0.2*($P471),('3. Detention'!$AJ$7-0.2*($P471))^2/('3. Detention'!$AJ$7+0.8*($P471)),0)</f>
        <v>6.3025796416933915</v>
      </c>
      <c r="O471" s="61">
        <f t="shared" si="12"/>
        <v>82.999999999999261</v>
      </c>
      <c r="P471" s="24">
        <f t="shared" si="13"/>
        <v>2.0481927710844445</v>
      </c>
    </row>
    <row r="472" spans="4:16" x14ac:dyDescent="0.3">
      <c r="D472" s="2">
        <v>472</v>
      </c>
      <c r="L472" s="24">
        <f>IF('3. Detention'!$Z$7&gt;0.2*($P472),('3. Detention'!$Z$7-0.2*($P472))^2/('3. Detention'!$Z$7+0.8*($P472)),0)</f>
        <v>1.5671882084509918</v>
      </c>
      <c r="M472" s="24">
        <f>IF('3. Detention'!$AE$7&gt;0.2*($P472),('3. Detention'!$AE$7-0.2*($P472))^2/('3. Detention'!$AE$7+0.8*($P472)),0)</f>
        <v>3.392737202848136</v>
      </c>
      <c r="N472" s="24">
        <f>IF('3. Detention'!$AJ$7&gt;0.2*($P472),('3. Detention'!$AJ$7-0.2*($P472))^2/('3. Detention'!$AJ$7+0.8*($P472)),0)</f>
        <v>6.3145292793834651</v>
      </c>
      <c r="O472" s="61">
        <f t="shared" si="12"/>
        <v>83.099999999999255</v>
      </c>
      <c r="P472" s="24">
        <f t="shared" si="13"/>
        <v>2.0336943441637665</v>
      </c>
    </row>
    <row r="473" spans="4:16" x14ac:dyDescent="0.3">
      <c r="D473" s="2">
        <v>473</v>
      </c>
      <c r="L473" s="24">
        <f>IF('3. Detention'!$Z$7&gt;0.2*($P473),('3. Detention'!$Z$7-0.2*($P473))^2/('3. Detention'!$Z$7+0.8*($P473)),0)</f>
        <v>1.5743285717840336</v>
      </c>
      <c r="M473" s="24">
        <f>IF('3. Detention'!$AE$7&gt;0.2*($P473),('3. Detention'!$AE$7-0.2*($P473))^2/('3. Detention'!$AE$7+0.8*($P473)),0)</f>
        <v>3.4025496382479576</v>
      </c>
      <c r="N473" s="24">
        <f>IF('3. Detention'!$AJ$7&gt;0.2*($P473),('3. Detention'!$AJ$7-0.2*($P473))^2/('3. Detention'!$AJ$7+0.8*($P473)),0)</f>
        <v>6.3264796191290422</v>
      </c>
      <c r="O473" s="61">
        <f t="shared" si="12"/>
        <v>83.19999999999925</v>
      </c>
      <c r="P473" s="24">
        <f t="shared" si="13"/>
        <v>2.0192307692308784</v>
      </c>
    </row>
    <row r="474" spans="4:16" x14ac:dyDescent="0.3">
      <c r="D474" s="2">
        <v>474</v>
      </c>
      <c r="L474" s="24">
        <f>IF('3. Detention'!$Z$7&gt;0.2*($P474),('3. Detention'!$Z$7-0.2*($P474))^2/('3. Detention'!$Z$7+0.8*($P474)),0)</f>
        <v>1.5814900137936105</v>
      </c>
      <c r="M474" s="24">
        <f>IF('3. Detention'!$AE$7&gt;0.2*($P474),('3. Detention'!$AE$7-0.2*($P474))^2/('3. Detention'!$AE$7+0.8*($P474)),0)</f>
        <v>3.4123740631780786</v>
      </c>
      <c r="N474" s="24">
        <f>IF('3. Detention'!$AJ$7&gt;0.2*($P474),('3. Detention'!$AJ$7-0.2*($P474))^2/('3. Detention'!$AJ$7+0.8*($P474)),0)</f>
        <v>6.3384306547823872</v>
      </c>
      <c r="O474" s="61">
        <f t="shared" si="12"/>
        <v>83.299999999999244</v>
      </c>
      <c r="P474" s="24">
        <f t="shared" si="13"/>
        <v>2.0048019207684167</v>
      </c>
    </row>
    <row r="475" spans="4:16" x14ac:dyDescent="0.3">
      <c r="D475" s="2">
        <v>475</v>
      </c>
      <c r="L475" s="24">
        <f>IF('3. Detention'!$Z$7&gt;0.2*($P475),('3. Detention'!$Z$7-0.2*($P475))^2/('3. Detention'!$Z$7+0.8*($P475)),0)</f>
        <v>1.5886725996878825</v>
      </c>
      <c r="M475" s="24">
        <f>IF('3. Detention'!$AE$7&gt;0.2*($P475),('3. Detention'!$AE$7-0.2*($P475))^2/('3. Detention'!$AE$7+0.8*($P475)),0)</f>
        <v>3.4222104863675713</v>
      </c>
      <c r="N475" s="24">
        <f>IF('3. Detention'!$AJ$7&gt;0.2*($P475),('3. Detention'!$AJ$7-0.2*($P475))^2/('3. Detention'!$AJ$7+0.8*($P475)),0)</f>
        <v>6.3503823802258452</v>
      </c>
      <c r="O475" s="61">
        <f t="shared" ref="O475:O538" si="14">O474+0.1</f>
        <v>83.399999999999238</v>
      </c>
      <c r="P475" s="24">
        <f t="shared" si="13"/>
        <v>1.9904076738610215</v>
      </c>
    </row>
    <row r="476" spans="4:16" x14ac:dyDescent="0.3">
      <c r="D476" s="2">
        <v>476</v>
      </c>
      <c r="L476" s="24">
        <f>IF('3. Detention'!$Z$7&gt;0.2*($P476),('3. Detention'!$Z$7-0.2*($P476))^2/('3. Detention'!$Z$7+0.8*($P476)),0)</f>
        <v>1.5958763950573145</v>
      </c>
      <c r="M476" s="24">
        <f>IF('3. Detention'!$AE$7&gt;0.2*($P476),('3. Detention'!$AE$7-0.2*($P476))^2/('3. Detention'!$AE$7+0.8*($P476)),0)</f>
        <v>3.4320589166046047</v>
      </c>
      <c r="N476" s="24">
        <f>IF('3. Detention'!$AJ$7&gt;0.2*($P476),('3. Detention'!$AJ$7-0.2*($P476))^2/('3. Detention'!$AJ$7+0.8*($P476)),0)</f>
        <v>6.3623347893716584</v>
      </c>
      <c r="O476" s="61">
        <f t="shared" si="14"/>
        <v>83.499999999999233</v>
      </c>
      <c r="P476" s="24">
        <f t="shared" si="13"/>
        <v>1.9760479041917272</v>
      </c>
    </row>
    <row r="477" spans="4:16" x14ac:dyDescent="0.3">
      <c r="D477" s="2">
        <v>477</v>
      </c>
      <c r="L477" s="24">
        <f>IF('3. Detention'!$Z$7&gt;0.2*($P477),('3. Detention'!$Z$7-0.2*($P477))^2/('3. Detention'!$Z$7+0.8*($P477)),0)</f>
        <v>1.6031014658766713</v>
      </c>
      <c r="M477" s="24">
        <f>IF('3. Detention'!$AE$7&gt;0.2*($P477),('3. Detention'!$AE$7-0.2*($P477))^2/('3. Detention'!$AE$7+0.8*($P477)),0)</f>
        <v>3.4419193627363329</v>
      </c>
      <c r="N477" s="24">
        <f>IF('3. Detention'!$AJ$7&gt;0.2*($P477),('3. Detention'!$AJ$7-0.2*($P477))^2/('3. Detention'!$AJ$7+0.8*($P477)),0)</f>
        <v>6.37428787616179</v>
      </c>
      <c r="O477" s="61">
        <f t="shared" si="14"/>
        <v>83.599999999999227</v>
      </c>
      <c r="P477" s="24">
        <f t="shared" si="13"/>
        <v>1.9617224880383883</v>
      </c>
    </row>
    <row r="478" spans="4:16" x14ac:dyDescent="0.3">
      <c r="D478" s="2">
        <v>478</v>
      </c>
      <c r="L478" s="24">
        <f>IF('3. Detention'!$Z$7&gt;0.2*($P478),('3. Detention'!$Z$7-0.2*($P478))^2/('3. Detention'!$Z$7+0.8*($P478)),0)</f>
        <v>1.6103478785070322</v>
      </c>
      <c r="M478" s="24">
        <f>IF('3. Detention'!$AE$7&gt;0.2*($P478),('3. Detention'!$AE$7-0.2*($P478))^2/('3. Detention'!$AE$7+0.8*($P478)),0)</f>
        <v>3.4517918336687905</v>
      </c>
      <c r="N478" s="24">
        <f>IF('3. Detention'!$AJ$7&gt;0.2*($P478),('3. Detention'!$AJ$7-0.2*($P478))^2/('3. Detention'!$AJ$7+0.8*($P478)),0)</f>
        <v>6.3862416345677424</v>
      </c>
      <c r="O478" s="61">
        <f t="shared" si="14"/>
        <v>83.699999999999221</v>
      </c>
      <c r="P478" s="24">
        <f t="shared" si="13"/>
        <v>1.9474313022701235</v>
      </c>
    </row>
    <row r="479" spans="4:16" x14ac:dyDescent="0.3">
      <c r="D479" s="2">
        <v>479</v>
      </c>
      <c r="L479" s="24">
        <f>IF('3. Detention'!$Z$7&gt;0.2*($P479),('3. Detention'!$Z$7-0.2*($P479))^2/('3. Detention'!$Z$7+0.8*($P479)),0)</f>
        <v>1.6176156996978208</v>
      </c>
      <c r="M479" s="24">
        <f>IF('3. Detention'!$AE$7&gt;0.2*($P479),('3. Detention'!$AE$7-0.2*($P479))^2/('3. Detention'!$AE$7+0.8*($P479)),0)</f>
        <v>3.4616763383667917</v>
      </c>
      <c r="N479" s="24">
        <f>IF('3. Detention'!$AJ$7&gt;0.2*($P479),('3. Detention'!$AJ$7-0.2*($P479))^2/('3. Detention'!$AJ$7+0.8*($P479)),0)</f>
        <v>6.3981960585903899</v>
      </c>
      <c r="O479" s="61">
        <f t="shared" si="14"/>
        <v>83.799999999999216</v>
      </c>
      <c r="P479" s="24">
        <f t="shared" si="13"/>
        <v>1.9331742243437873</v>
      </c>
    </row>
    <row r="480" spans="4:16" x14ac:dyDescent="0.3">
      <c r="D480" s="2">
        <v>480</v>
      </c>
      <c r="L480" s="24">
        <f>IF('3. Detention'!$Z$7&gt;0.2*($P480),('3. Detention'!$Z$7-0.2*($P480))^2/('3. Detention'!$Z$7+0.8*($P480)),0)</f>
        <v>1.6249049965888542</v>
      </c>
      <c r="M480" s="24">
        <f>IF('3. Detention'!$AE$7&gt;0.2*($P480),('3. Detention'!$AE$7-0.2*($P480))^2/('3. Detention'!$AE$7+0.8*($P480)),0)</f>
        <v>3.4715728858538197</v>
      </c>
      <c r="N480" s="24">
        <f>IF('3. Detention'!$AJ$7&gt;0.2*($P480),('3. Detention'!$AJ$7-0.2*($P480))^2/('3. Detention'!$AJ$7+0.8*($P480)),0)</f>
        <v>6.4101511422597932</v>
      </c>
      <c r="O480" s="61">
        <f t="shared" si="14"/>
        <v>83.89999999999921</v>
      </c>
      <c r="P480" s="24">
        <f t="shared" si="13"/>
        <v>1.9189511323004691</v>
      </c>
    </row>
    <row r="481" spans="4:16" x14ac:dyDescent="0.3">
      <c r="D481" s="2">
        <v>481</v>
      </c>
      <c r="L481" s="24">
        <f>IF('3. Detention'!$Z$7&gt;0.2*($P481),('3. Detention'!$Z$7-0.2*($P481))^2/('3. Detention'!$Z$7+0.8*($P481)),0)</f>
        <v>1.6322158367124091</v>
      </c>
      <c r="M481" s="24">
        <f>IF('3. Detention'!$AE$7&gt;0.2*($P481),('3. Detention'!$AE$7-0.2*($P481))^2/('3. Detention'!$AE$7+0.8*($P481)),0)</f>
        <v>3.4814814852119293</v>
      </c>
      <c r="N481" s="24">
        <f>IF('3. Detention'!$AJ$7&gt;0.2*($P481),('3. Detention'!$AJ$7-0.2*($P481))^2/('3. Detention'!$AJ$7+0.8*($P481)),0)</f>
        <v>6.4221068796350256</v>
      </c>
      <c r="O481" s="61">
        <f t="shared" si="14"/>
        <v>83.999999999999204</v>
      </c>
      <c r="P481" s="24">
        <f t="shared" si="13"/>
        <v>1.904761904762017</v>
      </c>
    </row>
    <row r="482" spans="4:16" x14ac:dyDescent="0.3">
      <c r="D482" s="2">
        <v>482</v>
      </c>
      <c r="L482" s="24">
        <f>IF('3. Detention'!$Z$7&gt;0.2*($P482),('3. Detention'!$Z$7-0.2*($P482))^2/('3. Detention'!$Z$7+0.8*($P482)),0)</f>
        <v>1.6395482879953065</v>
      </c>
      <c r="M482" s="24">
        <f>IF('3. Detention'!$AE$7&gt;0.2*($P482),('3. Detention'!$AE$7-0.2*($P482))^2/('3. Detention'!$AE$7+0.8*($P482)),0)</f>
        <v>3.4914021455816471</v>
      </c>
      <c r="N482" s="24">
        <f>IF('3. Detention'!$AJ$7&gt;0.2*($P482),('3. Detention'!$AJ$7-0.2*($P482))^2/('3. Detention'!$AJ$7+0.8*($P482)),0)</f>
        <v>6.4340632648040161</v>
      </c>
      <c r="O482" s="61">
        <f t="shared" si="14"/>
        <v>84.099999999999199</v>
      </c>
      <c r="P482" s="24">
        <f t="shared" si="13"/>
        <v>1.8906064209275808</v>
      </c>
    </row>
    <row r="483" spans="4:16" x14ac:dyDescent="0.3">
      <c r="D483" s="2">
        <v>483</v>
      </c>
      <c r="L483" s="24">
        <f>IF('3. Detention'!$Z$7&gt;0.2*($P483),('3. Detention'!$Z$7-0.2*($P483))^2/('3. Detention'!$Z$7+0.8*($P483)),0)</f>
        <v>1.6469024187610148</v>
      </c>
      <c r="M483" s="24">
        <f>IF('3. Detention'!$AE$7&gt;0.2*($P483),('3. Detention'!$AE$7-0.2*($P483))^2/('3. Detention'!$AE$7+0.8*($P483)),0)</f>
        <v>3.5013348761618679</v>
      </c>
      <c r="N483" s="24">
        <f>IF('3. Detention'!$AJ$7&gt;0.2*($P483),('3. Detention'!$AJ$7-0.2*($P483))^2/('3. Detention'!$AJ$7+0.8*($P483)),0)</f>
        <v>6.4460202918833565</v>
      </c>
      <c r="O483" s="61">
        <f t="shared" si="14"/>
        <v>84.199999999999193</v>
      </c>
      <c r="P483" s="24">
        <f t="shared" si="13"/>
        <v>1.8764845605701854</v>
      </c>
    </row>
    <row r="484" spans="4:16" x14ac:dyDescent="0.3">
      <c r="D484" s="2">
        <v>484</v>
      </c>
      <c r="L484" s="24">
        <f>IF('3. Detention'!$Z$7&gt;0.2*($P484),('3. Detention'!$Z$7-0.2*($P484))^2/('3. Detention'!$Z$7+0.8*($P484)),0)</f>
        <v>1.6542782977317694</v>
      </c>
      <c r="M484" s="24">
        <f>IF('3. Detention'!$AE$7&gt;0.2*($P484),('3. Detention'!$AE$7-0.2*($P484))^2/('3. Detention'!$AE$7+0.8*($P484)),0)</f>
        <v>3.5112796862097646</v>
      </c>
      <c r="N484" s="24">
        <f>IF('3. Detention'!$AJ$7&gt;0.2*($P484),('3. Detention'!$AJ$7-0.2*($P484))^2/('3. Detention'!$AJ$7+0.8*($P484)),0)</f>
        <v>6.4579779550181478</v>
      </c>
      <c r="O484" s="61">
        <f t="shared" si="14"/>
        <v>84.299999999999187</v>
      </c>
      <c r="P484" s="24">
        <f t="shared" si="13"/>
        <v>1.8623962040333293</v>
      </c>
    </row>
    <row r="485" spans="4:16" x14ac:dyDescent="0.3">
      <c r="D485" s="2">
        <v>485</v>
      </c>
      <c r="L485" s="24">
        <f>IF('3. Detention'!$Z$7&gt;0.2*($P485),('3. Detention'!$Z$7-0.2*($P485))^2/('3. Detention'!$Z$7+0.8*($P485)),0)</f>
        <v>1.6616759940307111</v>
      </c>
      <c r="M485" s="24">
        <f>IF('3. Detention'!$AE$7&gt;0.2*($P485),('3. Detention'!$AE$7-0.2*($P485))^2/('3. Detention'!$AE$7+0.8*($P485)),0)</f>
        <v>3.5212365850406795</v>
      </c>
      <c r="N485" s="24">
        <f>IF('3. Detention'!$AJ$7&gt;0.2*($P485),('3. Detention'!$AJ$7-0.2*($P485))^2/('3. Detention'!$AJ$7+0.8*($P485)),0)</f>
        <v>6.4699362483818161</v>
      </c>
      <c r="O485" s="61">
        <f t="shared" si="14"/>
        <v>84.399999999999181</v>
      </c>
      <c r="P485" s="24">
        <f t="shared" si="13"/>
        <v>1.8483412322276038</v>
      </c>
    </row>
    <row r="486" spans="4:16" x14ac:dyDescent="0.3">
      <c r="D486" s="2">
        <v>486</v>
      </c>
      <c r="L486" s="24">
        <f>IF('3. Detention'!$Z$7&gt;0.2*($P486),('3. Detention'!$Z$7-0.2*($P486))^2/('3. Detention'!$Z$7+0.8*($P486)),0)</f>
        <v>1.6690955771840468</v>
      </c>
      <c r="M486" s="24">
        <f>IF('3. Detention'!$AE$7&gt;0.2*($P486),('3. Detention'!$AE$7-0.2*($P486))^2/('3. Detention'!$AE$7+0.8*($P486)),0)</f>
        <v>3.5312055820280466</v>
      </c>
      <c r="N486" s="24">
        <f>IF('3. Detention'!$AJ$7&gt;0.2*($P486),('3. Detention'!$AJ$7-0.2*($P486))^2/('3. Detention'!$AJ$7+0.8*($P486)),0)</f>
        <v>6.4818951661759652</v>
      </c>
      <c r="O486" s="61">
        <f t="shared" si="14"/>
        <v>84.499999999999176</v>
      </c>
      <c r="P486" s="24">
        <f t="shared" si="13"/>
        <v>1.8343195266273344</v>
      </c>
    </row>
    <row r="487" spans="4:16" x14ac:dyDescent="0.3">
      <c r="D487" s="2">
        <v>487</v>
      </c>
      <c r="L487" s="24">
        <f>IF('3. Detention'!$Z$7&gt;0.2*($P487),('3. Detention'!$Z$7-0.2*($P487))^2/('3. Detention'!$Z$7+0.8*($P487)),0)</f>
        <v>1.6765371171232206</v>
      </c>
      <c r="M487" s="24">
        <f>IF('3. Detention'!$AE$7&gt;0.2*($P487),('3. Detention'!$AE$7-0.2*($P487))^2/('3. Detention'!$AE$7+0.8*($P487)),0)</f>
        <v>3.5411866866032815</v>
      </c>
      <c r="N487" s="24">
        <f>IF('3. Detention'!$AJ$7&gt;0.2*($P487),('3. Detention'!$AJ$7-0.2*($P487))^2/('3. Detention'!$AJ$7+0.8*($P487)),0)</f>
        <v>6.4938547026301867</v>
      </c>
      <c r="O487" s="61">
        <f t="shared" si="14"/>
        <v>84.59999999999917</v>
      </c>
      <c r="P487" s="24">
        <f t="shared" si="13"/>
        <v>1.8203309692672551</v>
      </c>
    </row>
    <row r="488" spans="4:16" x14ac:dyDescent="0.3">
      <c r="D488" s="2">
        <v>488</v>
      </c>
      <c r="L488" s="24">
        <f>IF('3. Detention'!$Z$7&gt;0.2*($P488),('3. Detention'!$Z$7-0.2*($P488))^2/('3. Detention'!$Z$7+0.8*($P488)),0)</f>
        <v>1.6840006841871129</v>
      </c>
      <c r="M488" s="24">
        <f>IF('3. Detention'!$AE$7&gt;0.2*($P488),('3. Detention'!$AE$7-0.2*($P488))^2/('3. Detention'!$AE$7+0.8*($P488)),0)</f>
        <v>3.5511799082557003</v>
      </c>
      <c r="N488" s="24">
        <f>IF('3. Detention'!$AJ$7&gt;0.2*($P488),('3. Detention'!$AJ$7-0.2*($P488))^2/('3. Detention'!$AJ$7+0.8*($P488)),0)</f>
        <v>6.5058148520019108</v>
      </c>
      <c r="O488" s="61">
        <f t="shared" si="14"/>
        <v>84.699999999999164</v>
      </c>
      <c r="P488" s="24">
        <f t="shared" si="13"/>
        <v>1.8063754427391956</v>
      </c>
    </row>
    <row r="489" spans="4:16" x14ac:dyDescent="0.3">
      <c r="D489" s="2">
        <v>489</v>
      </c>
      <c r="L489" s="24">
        <f>IF('3. Detention'!$Z$7&gt;0.2*($P489),('3. Detention'!$Z$7-0.2*($P489))^2/('3. Detention'!$Z$7+0.8*($P489)),0)</f>
        <v>1.6914863491242536</v>
      </c>
      <c r="M489" s="24">
        <f>IF('3. Detention'!$AE$7&gt;0.2*($P489),('3. Detention'!$AE$7-0.2*($P489))^2/('3. Detention'!$AE$7+0.8*($P489)),0)</f>
        <v>3.5611852565324251</v>
      </c>
      <c r="N489" s="24">
        <f>IF('3. Detention'!$AJ$7&gt;0.2*($P489),('3. Detention'!$AJ$7-0.2*($P489))^2/('3. Detention'!$AJ$7+0.8*($P489)),0)</f>
        <v>6.5177756085762413</v>
      </c>
      <c r="O489" s="61">
        <f t="shared" si="14"/>
        <v>84.799999999999159</v>
      </c>
      <c r="P489" s="24">
        <f t="shared" ref="P489:P552" si="15">IF(O489&gt;0,1000/O489-10,1000)</f>
        <v>1.7924528301887968</v>
      </c>
    </row>
    <row r="490" spans="4:16" x14ac:dyDescent="0.3">
      <c r="D490" s="2">
        <v>490</v>
      </c>
      <c r="L490" s="24">
        <f>IF('3. Detention'!$Z$7&gt;0.2*($P490),('3. Detention'!$Z$7-0.2*($P490))^2/('3. Detention'!$Z$7+0.8*($P490)),0)</f>
        <v>1.6989941830950543</v>
      </c>
      <c r="M490" s="24">
        <f>IF('3. Detention'!$AE$7&gt;0.2*($P490),('3. Detention'!$AE$7-0.2*($P490))^2/('3. Detention'!$AE$7+0.8*($P490)),0)</f>
        <v>3.5712027410382952</v>
      </c>
      <c r="N490" s="24">
        <f>IF('3. Detention'!$AJ$7&gt;0.2*($P490),('3. Detention'!$AJ$7-0.2*($P490))^2/('3. Detention'!$AJ$7+0.8*($P490)),0)</f>
        <v>6.5297369666657827</v>
      </c>
      <c r="O490" s="61">
        <f t="shared" si="14"/>
        <v>84.899999999999153</v>
      </c>
      <c r="P490" s="24">
        <f t="shared" si="15"/>
        <v>1.7785630153122494</v>
      </c>
    </row>
    <row r="491" spans="4:16" x14ac:dyDescent="0.3">
      <c r="D491" s="2">
        <v>491</v>
      </c>
      <c r="L491" s="24">
        <f>IF('3. Detention'!$Z$7&gt;0.2*($P491),('3. Detention'!$Z$7-0.2*($P491))^2/('3. Detention'!$Z$7+0.8*($P491)),0)</f>
        <v>1.7065242576740571</v>
      </c>
      <c r="M491" s="24">
        <f>IF('3. Detention'!$AE$7&gt;0.2*($P491),('3. Detention'!$AE$7-0.2*($P491))^2/('3. Detention'!$AE$7+0.8*($P491)),0)</f>
        <v>3.5812323714357794</v>
      </c>
      <c r="N491" s="24">
        <f>IF('3. Detention'!$AJ$7&gt;0.2*($P491),('3. Detention'!$AJ$7-0.2*($P491))^2/('3. Detention'!$AJ$7+0.8*($P491)),0)</f>
        <v>6.5416989206104876</v>
      </c>
      <c r="O491" s="61">
        <f t="shared" si="14"/>
        <v>84.999999999999147</v>
      </c>
      <c r="P491" s="24">
        <f t="shared" si="15"/>
        <v>1.7647058823530593</v>
      </c>
    </row>
    <row r="492" spans="4:16" x14ac:dyDescent="0.3">
      <c r="D492" s="2">
        <v>492</v>
      </c>
      <c r="L492" s="24">
        <f>IF('3. Detention'!$Z$7&gt;0.2*($P492),('3. Detention'!$Z$7-0.2*($P492))^2/('3. Detention'!$Z$7+0.8*($P492)),0)</f>
        <v>1.7140766448522129</v>
      </c>
      <c r="M492" s="24">
        <f>IF('3. Detention'!$AE$7&gt;0.2*($P492),('3. Detention'!$AE$7-0.2*($P492))^2/('3. Detention'!$AE$7+0.8*($P492)),0)</f>
        <v>3.5912741574448881</v>
      </c>
      <c r="N492" s="24">
        <f>IF('3. Detention'!$AJ$7&gt;0.2*($P492),('3. Detention'!$AJ$7-0.2*($P492))^2/('3. Detention'!$AJ$7+0.8*($P492)),0)</f>
        <v>6.5536614647774885</v>
      </c>
      <c r="O492" s="61">
        <f t="shared" si="14"/>
        <v>85.099999999999142</v>
      </c>
      <c r="P492" s="24">
        <f t="shared" si="15"/>
        <v>1.7508813160988268</v>
      </c>
    </row>
    <row r="493" spans="4:16" x14ac:dyDescent="0.3">
      <c r="D493" s="2">
        <v>493</v>
      </c>
      <c r="L493" s="24">
        <f>IF('3. Detention'!$Z$7&gt;0.2*($P493),('3. Detention'!$Z$7-0.2*($P493))^2/('3. Detention'!$Z$7+0.8*($P493)),0)</f>
        <v>1.7216514170391684</v>
      </c>
      <c r="M493" s="24">
        <f>IF('3. Detention'!$AE$7&gt;0.2*($P493),('3. Detention'!$AE$7-0.2*($P493))^2/('3. Detention'!$AE$7+0.8*($P493)),0)</f>
        <v>3.601328108843092</v>
      </c>
      <c r="N493" s="24">
        <f>IF('3. Detention'!$AJ$7&gt;0.2*($P493),('3. Detention'!$AJ$7-0.2*($P493))^2/('3. Detention'!$AJ$7+0.8*($P493)),0)</f>
        <v>6.5656245935609476</v>
      </c>
      <c r="O493" s="61">
        <f t="shared" si="14"/>
        <v>85.199999999999136</v>
      </c>
      <c r="P493" s="24">
        <f t="shared" si="15"/>
        <v>1.737089201878053</v>
      </c>
    </row>
    <row r="494" spans="4:16" x14ac:dyDescent="0.3">
      <c r="D494" s="2">
        <v>494</v>
      </c>
      <c r="L494" s="24">
        <f>IF('3. Detention'!$Z$7&gt;0.2*($P494),('3. Detention'!$Z$7-0.2*($P494))^2/('3. Detention'!$Z$7+0.8*($P494)),0)</f>
        <v>1.7292486470655735</v>
      </c>
      <c r="M494" s="24">
        <f>IF('3. Detention'!$AE$7&gt;0.2*($P494),('3. Detention'!$AE$7-0.2*($P494))^2/('3. Detention'!$AE$7+0.8*($P494)),0)</f>
        <v>3.611394235465232</v>
      </c>
      <c r="N494" s="24">
        <f>IF('3. Detention'!$AJ$7&gt;0.2*($P494),('3. Detention'!$AJ$7-0.2*($P494))^2/('3. Detention'!$AJ$7+0.8*($P494)),0)</f>
        <v>6.5775883013818879</v>
      </c>
      <c r="O494" s="61">
        <f t="shared" si="14"/>
        <v>85.29999999999913</v>
      </c>
      <c r="P494" s="24">
        <f t="shared" si="15"/>
        <v>1.7233294255569778</v>
      </c>
    </row>
    <row r="495" spans="4:16" x14ac:dyDescent="0.3">
      <c r="D495" s="2">
        <v>495</v>
      </c>
      <c r="L495" s="24">
        <f>IF('3. Detention'!$Z$7&gt;0.2*($P495),('3. Detention'!$Z$7-0.2*($P495))^2/('3. Detention'!$Z$7+0.8*($P495)),0)</f>
        <v>1.7368684081854193</v>
      </c>
      <c r="M495" s="24">
        <f>IF('3. Detention'!$AE$7&gt;0.2*($P495),('3. Detention'!$AE$7-0.2*($P495))^2/('3. Detention'!$AE$7+0.8*($P495)),0)</f>
        <v>3.6214725472034437</v>
      </c>
      <c r="N495" s="24">
        <f>IF('3. Detention'!$AJ$7&gt;0.2*($P495),('3. Detention'!$AJ$7-0.2*($P495))^2/('3. Detention'!$AJ$7+0.8*($P495)),0)</f>
        <v>6.5895525826880448</v>
      </c>
      <c r="O495" s="61">
        <f t="shared" si="14"/>
        <v>85.399999999999125</v>
      </c>
      <c r="P495" s="24">
        <f t="shared" si="15"/>
        <v>1.7096018735364193</v>
      </c>
    </row>
    <row r="496" spans="4:16" x14ac:dyDescent="0.3">
      <c r="D496" s="2">
        <v>496</v>
      </c>
      <c r="L496" s="24">
        <f>IF('3. Detention'!$Z$7&gt;0.2*($P496),('3. Detention'!$Z$7-0.2*($P496))^2/('3. Detention'!$Z$7+0.8*($P496)),0)</f>
        <v>1.7445107740783821</v>
      </c>
      <c r="M496" s="24">
        <f>IF('3. Detention'!$AE$7&gt;0.2*($P496),('3. Detention'!$AE$7-0.2*($P496))^2/('3. Detention'!$AE$7+0.8*($P496)),0)</f>
        <v>3.6315630540070702</v>
      </c>
      <c r="N496" s="24">
        <f>IF('3. Detention'!$AJ$7&gt;0.2*($P496),('3. Detention'!$AJ$7-0.2*($P496))^2/('3. Detention'!$AJ$7+0.8*($P496)),0)</f>
        <v>6.6015174319536998</v>
      </c>
      <c r="O496" s="61">
        <f t="shared" si="14"/>
        <v>85.499999999999119</v>
      </c>
      <c r="P496" s="24">
        <f t="shared" si="15"/>
        <v>1.695906432748659</v>
      </c>
    </row>
    <row r="497" spans="4:16" x14ac:dyDescent="0.3">
      <c r="D497" s="2">
        <v>497</v>
      </c>
      <c r="L497" s="24">
        <f>IF('3. Detention'!$Z$7&gt;0.2*($P497),('3. Detention'!$Z$7-0.2*($P497))^2/('3. Detention'!$Z$7+0.8*($P497)),0)</f>
        <v>1.7521758188521968</v>
      </c>
      <c r="M497" s="24">
        <f>IF('3. Detention'!$AE$7&gt;0.2*($P497),('3. Detention'!$AE$7-0.2*($P497))^2/('3. Detention'!$AE$7+0.8*($P497)),0)</f>
        <v>3.6416657658825873</v>
      </c>
      <c r="N497" s="24">
        <f>IF('3. Detention'!$AJ$7&gt;0.2*($P497),('3. Detention'!$AJ$7-0.2*($P497))^2/('3. Detention'!$AJ$7+0.8*($P497)),0)</f>
        <v>6.613482843679539</v>
      </c>
      <c r="O497" s="61">
        <f t="shared" si="14"/>
        <v>85.599999999999113</v>
      </c>
      <c r="P497" s="24">
        <f t="shared" si="15"/>
        <v>1.682242990654327</v>
      </c>
    </row>
    <row r="498" spans="4:16" x14ac:dyDescent="0.3">
      <c r="D498" s="2">
        <v>498</v>
      </c>
      <c r="L498" s="24">
        <f>IF('3. Detention'!$Z$7&gt;0.2*($P498),('3. Detention'!$Z$7-0.2*($P498))^2/('3. Detention'!$Z$7+0.8*($P498)),0)</f>
        <v>1.7598636170450486</v>
      </c>
      <c r="M498" s="24">
        <f>IF('3. Detention'!$AE$7&gt;0.2*($P498),('3. Detention'!$AE$7-0.2*($P498))^2/('3. Detention'!$AE$7+0.8*($P498)),0)</f>
        <v>3.651780692893523</v>
      </c>
      <c r="N498" s="24">
        <f>IF('3. Detention'!$AJ$7&gt;0.2*($P498),('3. Detention'!$AJ$7-0.2*($P498))^2/('3. Detention'!$AJ$7+0.8*($P498)),0)</f>
        <v>6.6254488123924844</v>
      </c>
      <c r="O498" s="61">
        <f t="shared" si="14"/>
        <v>85.699999999999108</v>
      </c>
      <c r="P498" s="24">
        <f t="shared" si="15"/>
        <v>1.6686114352393275</v>
      </c>
    </row>
    <row r="499" spans="4:16" x14ac:dyDescent="0.3">
      <c r="D499" s="2">
        <v>499</v>
      </c>
      <c r="L499" s="24">
        <f>IF('3. Detention'!$Z$7&gt;0.2*($P499),('3. Detention'!$Z$7-0.2*($P499))^2/('3. Detention'!$Z$7+0.8*($P499)),0)</f>
        <v>1.7675742436279795</v>
      </c>
      <c r="M499" s="24">
        <f>IF('3. Detention'!$AE$7&gt;0.2*($P499),('3. Detention'!$AE$7-0.2*($P499))^2/('3. Detention'!$AE$7+0.8*($P499)),0)</f>
        <v>3.6619078451603775</v>
      </c>
      <c r="N499" s="24">
        <f>IF('3. Detention'!$AJ$7&gt;0.2*($P499),('3. Detention'!$AJ$7-0.2*($P499))^2/('3. Detention'!$AJ$7+0.8*($P499)),0)</f>
        <v>6.6374153326455509</v>
      </c>
      <c r="O499" s="61">
        <f t="shared" si="14"/>
        <v>85.799999999999102</v>
      </c>
      <c r="P499" s="24">
        <f t="shared" si="15"/>
        <v>1.6550116550117764</v>
      </c>
    </row>
    <row r="500" spans="4:16" x14ac:dyDescent="0.3">
      <c r="D500" s="2">
        <v>500</v>
      </c>
      <c r="L500" s="24">
        <f>IF('3. Detention'!$Z$7&gt;0.2*($P500),('3. Detention'!$Z$7-0.2*($P500))^2/('3. Detention'!$Z$7+0.8*($P500)),0)</f>
        <v>1.7753077740073264</v>
      </c>
      <c r="M500" s="24">
        <f>IF('3. Detention'!$AE$7&gt;0.2*($P500),('3. Detention'!$AE$7-0.2*($P500))^2/('3. Detention'!$AE$7+0.8*($P500)),0)</f>
        <v>3.67204723286055</v>
      </c>
      <c r="N500" s="24">
        <f>IF('3. Detention'!$AJ$7&gt;0.2*($P500),('3. Detention'!$AJ$7-0.2*($P500))^2/('3. Detention'!$AJ$7+0.8*($P500)),0)</f>
        <v>6.649382399017691</v>
      </c>
      <c r="O500" s="61">
        <f t="shared" si="14"/>
        <v>85.899999999999096</v>
      </c>
      <c r="P500" s="24">
        <f t="shared" si="15"/>
        <v>1.6414435389989581</v>
      </c>
    </row>
    <row r="501" spans="4:16" x14ac:dyDescent="0.3">
      <c r="L501" s="24">
        <f>IF('3. Detention'!$Z$7&gt;0.2*($P501),('3. Detention'!$Z$7-0.2*($P501))^2/('3. Detention'!$Z$7+0.8*($P501)),0)</f>
        <v>1.7830642840271707</v>
      </c>
      <c r="M501" s="24">
        <f>IF('3. Detention'!$AE$7&gt;0.2*($P501),('3. Detention'!$AE$7-0.2*($P501))^2/('3. Detention'!$AE$7+0.8*($P501)),0)</f>
        <v>3.6821988662282665</v>
      </c>
      <c r="N501" s="24">
        <f>IF('3. Detention'!$AJ$7&gt;0.2*($P501),('3. Detention'!$AJ$7-0.2*($P501))^2/('3. Detention'!$AJ$7+0.8*($P501)),0)</f>
        <v>6.6613500061136417</v>
      </c>
      <c r="O501" s="61">
        <f t="shared" si="14"/>
        <v>85.999999999999091</v>
      </c>
      <c r="P501" s="24">
        <f t="shared" si="15"/>
        <v>1.6279069767443097</v>
      </c>
    </row>
    <row r="502" spans="4:16" x14ac:dyDescent="0.3">
      <c r="L502" s="24">
        <f>IF('3. Detention'!$Z$7&gt;0.2*($P502),('3. Detention'!$Z$7-0.2*($P502))^2/('3. Detention'!$Z$7+0.8*($P502)),0)</f>
        <v>1.790843849971812</v>
      </c>
      <c r="M502" s="24">
        <f>IF('3. Detention'!$AE$7&gt;0.2*($P502),('3. Detention'!$AE$7-0.2*($P502))^2/('3. Detention'!$AE$7+0.8*($P502)),0)</f>
        <v>3.6923627555545031</v>
      </c>
      <c r="N502" s="24">
        <f>IF('3. Detention'!$AJ$7&gt;0.2*($P502),('3. Detention'!$AJ$7-0.2*($P502))^2/('3. Detention'!$AJ$7+0.8*($P502)),0)</f>
        <v>6.6733181485637809</v>
      </c>
      <c r="O502" s="61">
        <f t="shared" si="14"/>
        <v>86.099999999999085</v>
      </c>
      <c r="P502" s="24">
        <f t="shared" si="15"/>
        <v>1.6144018583044204</v>
      </c>
    </row>
    <row r="503" spans="4:16" x14ac:dyDescent="0.3">
      <c r="L503" s="24">
        <f>IF('3. Detention'!$Z$7&gt;0.2*($P503),('3. Detention'!$Z$7-0.2*($P503))^2/('3. Detention'!$Z$7+0.8*($P503)),0)</f>
        <v>1.7986465485682612</v>
      </c>
      <c r="M503" s="24">
        <f>IF('3. Detention'!$AE$7&gt;0.2*($P503),('3. Detention'!$AE$7-0.2*($P503))^2/('3. Detention'!$AE$7+0.8*($P503)),0)</f>
        <v>3.7025389111869109</v>
      </c>
      <c r="N503" s="24">
        <f>IF('3. Detention'!$AJ$7&gt;0.2*($P503),('3. Detention'!$AJ$7-0.2*($P503))^2/('3. Detention'!$AJ$7+0.8*($P503)),0)</f>
        <v>6.6852868210239711</v>
      </c>
      <c r="O503" s="61">
        <f t="shared" si="14"/>
        <v>86.199999999999079</v>
      </c>
      <c r="P503" s="24">
        <f t="shared" si="15"/>
        <v>1.6009280742460632</v>
      </c>
    </row>
    <row r="504" spans="4:16" x14ac:dyDescent="0.3">
      <c r="L504" s="24">
        <f>IF('3. Detention'!$Z$7&gt;0.2*($P504),('3. Detention'!$Z$7-0.2*($P504))^2/('3. Detention'!$Z$7+0.8*($P504)),0)</f>
        <v>1.8064724569887607</v>
      </c>
      <c r="M504" s="24">
        <f>IF('3. Detention'!$AE$7&gt;0.2*($P504),('3. Detention'!$AE$7-0.2*($P504))^2/('3. Detention'!$AE$7+0.8*($P504)),0)</f>
        <v>3.7127273435297528</v>
      </c>
      <c r="N504" s="24">
        <f>IF('3. Detention'!$AJ$7&gt;0.2*($P504),('3. Detention'!$AJ$7-0.2*($P504))^2/('3. Detention'!$AJ$7+0.8*($P504)),0)</f>
        <v>6.6972560181754099</v>
      </c>
      <c r="O504" s="61">
        <f t="shared" si="14"/>
        <v>86.299999999999073</v>
      </c>
      <c r="P504" s="24">
        <f t="shared" si="15"/>
        <v>1.5874855156432304</v>
      </c>
    </row>
    <row r="505" spans="4:16" x14ac:dyDescent="0.3">
      <c r="L505" s="24">
        <f>IF('3. Detention'!$Z$7&gt;0.2*($P505),('3. Detention'!$Z$7-0.2*($P505))^2/('3. Detention'!$Z$7+0.8*($P505)),0)</f>
        <v>1.814321652853319</v>
      </c>
      <c r="M505" s="24">
        <f>IF('3. Detention'!$AE$7&gt;0.2*($P505),('3. Detention'!$AE$7-0.2*($P505))^2/('3. Detention'!$AE$7+0.8*($P505)),0)</f>
        <v>3.7229280630438297</v>
      </c>
      <c r="N505" s="24">
        <f>IF('3. Detention'!$AJ$7&gt;0.2*($P505),('3. Detention'!$AJ$7-0.2*($P505))^2/('3. Detention'!$AJ$7+0.8*($P505)),0)</f>
        <v>6.7092257347245035</v>
      </c>
      <c r="O505" s="61">
        <f t="shared" si="14"/>
        <v>86.399999999999068</v>
      </c>
      <c r="P505" s="24">
        <f t="shared" si="15"/>
        <v>1.5740740740741987</v>
      </c>
    </row>
    <row r="506" spans="4:16" x14ac:dyDescent="0.3">
      <c r="L506" s="24">
        <f>IF('3. Detention'!$Z$7&gt;0.2*($P506),('3. Detention'!$Z$7-0.2*($P506))^2/('3. Detention'!$Z$7+0.8*($P506)),0)</f>
        <v>1.8221942142322698</v>
      </c>
      <c r="M506" s="24">
        <f>IF('3. Detention'!$AE$7&gt;0.2*($P506),('3. Detention'!$AE$7-0.2*($P506))^2/('3. Detention'!$AE$7+0.8*($P506)),0)</f>
        <v>3.7331410802464102</v>
      </c>
      <c r="N506" s="24">
        <f>IF('3. Detention'!$AJ$7&gt;0.2*($P506),('3. Detention'!$AJ$7-0.2*($P506))^2/('3. Detention'!$AJ$7+0.8*($P506)),0)</f>
        <v>6.7211959654026936</v>
      </c>
      <c r="O506" s="61">
        <f t="shared" si="14"/>
        <v>86.499999999999062</v>
      </c>
      <c r="P506" s="24">
        <f t="shared" si="15"/>
        <v>1.5606936416186219</v>
      </c>
    </row>
    <row r="507" spans="4:16" x14ac:dyDescent="0.3">
      <c r="L507" s="24">
        <f>IF('3. Detention'!$Z$7&gt;0.2*($P507),('3. Detention'!$Z$7-0.2*($P507))^2/('3. Detention'!$Z$7+0.8*($P507)),0)</f>
        <v>1.8300902196488529</v>
      </c>
      <c r="M507" s="24">
        <f>IF('3. Detention'!$AE$7&gt;0.2*($P507),('3. Detention'!$AE$7-0.2*($P507))^2/('3. Detention'!$AE$7+0.8*($P507)),0)</f>
        <v>3.7433664057111651</v>
      </c>
      <c r="N507" s="24">
        <f>IF('3. Detention'!$AJ$7&gt;0.2*($P507),('3. Detention'!$AJ$7-0.2*($P507))^2/('3. Detention'!$AJ$7+0.8*($P507)),0)</f>
        <v>6.7331667049663224</v>
      </c>
      <c r="O507" s="61">
        <f t="shared" si="14"/>
        <v>86.599999999999056</v>
      </c>
      <c r="P507" s="24">
        <f t="shared" si="15"/>
        <v>1.5473441108546293</v>
      </c>
    </row>
    <row r="508" spans="4:16" x14ac:dyDescent="0.3">
      <c r="L508" s="24">
        <f>IF('3. Detention'!$Z$7&gt;0.2*($P508),('3. Detention'!$Z$7-0.2*($P508))^2/('3. Detention'!$Z$7+0.8*($P508)),0)</f>
        <v>1.8380097480818209</v>
      </c>
      <c r="M508" s="24">
        <f>IF('3. Detention'!$AE$7&gt;0.2*($P508),('3. Detention'!$AE$7-0.2*($P508))^2/('3. Detention'!$AE$7+0.8*($P508)),0)</f>
        <v>3.7536040500681072</v>
      </c>
      <c r="N508" s="24">
        <f>IF('3. Detention'!$AJ$7&gt;0.2*($P508),('3. Detention'!$AJ$7-0.2*($P508))^2/('3. Detention'!$AJ$7+0.8*($P508)),0)</f>
        <v>6.7451379481965024</v>
      </c>
      <c r="O508" s="61">
        <f t="shared" si="14"/>
        <v>86.699999999999051</v>
      </c>
      <c r="P508" s="24">
        <f t="shared" si="15"/>
        <v>1.5340253748559505</v>
      </c>
    </row>
    <row r="509" spans="4:16" x14ac:dyDescent="0.3">
      <c r="L509" s="24">
        <f>IF('3. Detention'!$Z$7&gt;0.2*($P509),('3. Detention'!$Z$7-0.2*($P509))^2/('3. Detention'!$Z$7+0.8*($P509)),0)</f>
        <v>1.8459528789680573</v>
      </c>
      <c r="M509" s="24">
        <f>IF('3. Detention'!$AE$7&gt;0.2*($P509),('3. Detention'!$AE$7-0.2*($P509))^2/('3. Detention'!$AE$7+0.8*($P509)),0)</f>
        <v>3.7638540240035154</v>
      </c>
      <c r="N509" s="24">
        <f>IF('3. Detention'!$AJ$7&gt;0.2*($P509),('3. Detention'!$AJ$7-0.2*($P509))^2/('3. Detention'!$AJ$7+0.8*($P509)),0)</f>
        <v>6.7571096898989564</v>
      </c>
      <c r="O509" s="61">
        <f t="shared" si="14"/>
        <v>86.799999999999045</v>
      </c>
      <c r="P509" s="24">
        <f t="shared" si="15"/>
        <v>1.5207373271890674</v>
      </c>
    </row>
    <row r="510" spans="4:16" x14ac:dyDescent="0.3">
      <c r="L510" s="24">
        <f>IF('3. Detention'!$Z$7&gt;0.2*($P510),('3. Detention'!$Z$7-0.2*($P510))^2/('3. Detention'!$Z$7+0.8*($P510)),0)</f>
        <v>1.8539196922052306</v>
      </c>
      <c r="M510" s="24">
        <f>IF('3. Detention'!$AE$7&gt;0.2*($P510),('3. Detention'!$AE$7-0.2*($P510))^2/('3. Detention'!$AE$7+0.8*($P510)),0)</f>
        <v>3.7741163382598826</v>
      </c>
      <c r="N510" s="24">
        <f>IF('3. Detention'!$AJ$7&gt;0.2*($P510),('3. Detention'!$AJ$7-0.2*($P510))^2/('3. Detention'!$AJ$7+0.8*($P510)),0)</f>
        <v>6.7690819249038796</v>
      </c>
      <c r="O510" s="61">
        <f t="shared" si="14"/>
        <v>86.899999999999039</v>
      </c>
      <c r="P510" s="24">
        <f t="shared" si="15"/>
        <v>1.5074798619103689</v>
      </c>
    </row>
    <row r="511" spans="4:16" x14ac:dyDescent="0.3">
      <c r="L511" s="24">
        <f>IF('3. Detention'!$Z$7&gt;0.2*($P511),('3. Detention'!$Z$7-0.2*($P511))^2/('3. Detention'!$Z$7+0.8*($P511)),0)</f>
        <v>1.861910268154461</v>
      </c>
      <c r="M511" s="24">
        <f>IF('3. Detention'!$AE$7&gt;0.2*($P511),('3. Detention'!$AE$7-0.2*($P511))^2/('3. Detention'!$AE$7+0.8*($P511)),0)</f>
        <v>3.7843910036358444</v>
      </c>
      <c r="N511" s="24">
        <f>IF('3. Detention'!$AJ$7&gt;0.2*($P511),('3. Detention'!$AJ$7-0.2*($P511))^2/('3. Detention'!$AJ$7+0.8*($P511)),0)</f>
        <v>6.7810546480658083</v>
      </c>
      <c r="O511" s="61">
        <f t="shared" si="14"/>
        <v>86.999999999999034</v>
      </c>
      <c r="P511" s="24">
        <f t="shared" si="15"/>
        <v>1.4942528735633456</v>
      </c>
    </row>
    <row r="512" spans="4:16" x14ac:dyDescent="0.3">
      <c r="L512" s="24">
        <f>IF('3. Detention'!$Z$7&gt;0.2*($P512),('3. Detention'!$Z$7-0.2*($P512))^2/('3. Detention'!$Z$7+0.8*($P512)),0)</f>
        <v>1.8699246876430129</v>
      </c>
      <c r="M512" s="24">
        <f>IF('3. Detention'!$AE$7&gt;0.2*($P512),('3. Detention'!$AE$7-0.2*($P512))^2/('3. Detention'!$AE$7+0.8*($P512)),0)</f>
        <v>3.794678030986125</v>
      </c>
      <c r="N512" s="24">
        <f>IF('3. Detention'!$AJ$7&gt;0.2*($P512),('3. Detention'!$AJ$7-0.2*($P512))^2/('3. Detention'!$AJ$7+0.8*($P512)),0)</f>
        <v>6.793027854263463</v>
      </c>
      <c r="O512" s="61">
        <f t="shared" si="14"/>
        <v>87.099999999999028</v>
      </c>
      <c r="P512" s="24">
        <f t="shared" si="15"/>
        <v>1.4810562571757888</v>
      </c>
    </row>
    <row r="513" spans="12:16" x14ac:dyDescent="0.3">
      <c r="L513" s="24">
        <f>IF('3. Detention'!$Z$7&gt;0.2*($P513),('3. Detention'!$Z$7-0.2*($P513))^2/('3. Detention'!$Z$7+0.8*($P513)),0)</f>
        <v>1.8779630319670122</v>
      </c>
      <c r="M513" s="24">
        <f>IF('3. Detention'!$AE$7&gt;0.2*($P513),('3. Detention'!$AE$7-0.2*($P513))^2/('3. Detention'!$AE$7+0.8*($P513)),0)</f>
        <v>3.8049774312214737</v>
      </c>
      <c r="N513" s="24">
        <f>IF('3. Detention'!$AJ$7&gt;0.2*($P513),('3. Detention'!$AJ$7-0.2*($P513))^2/('3. Detention'!$AJ$7+0.8*($P513)),0)</f>
        <v>6.8050015383996341</v>
      </c>
      <c r="O513" s="61">
        <f t="shared" si="14"/>
        <v>87.199999999999022</v>
      </c>
      <c r="P513" s="24">
        <f t="shared" si="15"/>
        <v>1.4678899082570087</v>
      </c>
    </row>
    <row r="514" spans="12:16" x14ac:dyDescent="0.3">
      <c r="L514" s="24">
        <f>IF('3. Detention'!$Z$7&gt;0.2*($P514),('3. Detention'!$Z$7-0.2*($P514))^2/('3. Detention'!$Z$7+0.8*($P514)),0)</f>
        <v>1.8860253828941835</v>
      </c>
      <c r="M514" s="24">
        <f>IF('3. Detention'!$AE$7&gt;0.2*($P514),('3. Detention'!$AE$7-0.2*($P514))^2/('3. Detention'!$AE$7+0.8*($P514)),0)</f>
        <v>3.8152892153086051</v>
      </c>
      <c r="N514" s="24">
        <f>IF('3. Detention'!$AJ$7&gt;0.2*($P514),('3. Detention'!$AJ$7-0.2*($P514))^2/('3. Detention'!$AJ$7+0.8*($P514)),0)</f>
        <v>6.8169756954010099</v>
      </c>
      <c r="O514" s="61">
        <f t="shared" si="14"/>
        <v>87.299999999999017</v>
      </c>
      <c r="P514" s="24">
        <f t="shared" si="15"/>
        <v>1.4547537227950897</v>
      </c>
    </row>
    <row r="515" spans="12:16" x14ac:dyDescent="0.3">
      <c r="L515" s="24">
        <f>IF('3. Detention'!$Z$7&gt;0.2*($P515),('3. Detention'!$Z$7-0.2*($P515))^2/('3. Detention'!$Z$7+0.8*($P515)),0)</f>
        <v>1.8941118226666156</v>
      </c>
      <c r="M515" s="24">
        <f>IF('3. Detention'!$AE$7&gt;0.2*($P515),('3. Detention'!$AE$7-0.2*($P515))^2/('3. Detention'!$AE$7+0.8*($P515)),0)</f>
        <v>3.8256133942701473</v>
      </c>
      <c r="N515" s="24">
        <f>IF('3. Detention'!$AJ$7&gt;0.2*($P515),('3. Detention'!$AJ$7-0.2*($P515))^2/('3. Detention'!$AJ$7+0.8*($P515)),0)</f>
        <v>6.8289503202180768</v>
      </c>
      <c r="O515" s="61">
        <f t="shared" si="14"/>
        <v>87.399999999999011</v>
      </c>
      <c r="P515" s="24">
        <f t="shared" si="15"/>
        <v>1.4416475972541338</v>
      </c>
    </row>
    <row r="516" spans="12:16" x14ac:dyDescent="0.3">
      <c r="L516" s="24">
        <f>IF('3. Detention'!$Z$7&gt;0.2*($P516),('3. Detention'!$Z$7-0.2*($P516))^2/('3. Detention'!$Z$7+0.8*($P516)),0)</f>
        <v>1.9022224340035405</v>
      </c>
      <c r="M516" s="24">
        <f>IF('3. Detention'!$AE$7&gt;0.2*($P516),('3. Detention'!$AE$7-0.2*($P516))^2/('3. Detention'!$AE$7+0.8*($P516)),0)</f>
        <v>3.8359499791845777</v>
      </c>
      <c r="N516" s="24">
        <f>IF('3. Detention'!$AJ$7&gt;0.2*($P516),('3. Detention'!$AJ$7-0.2*($P516))^2/('3. Detention'!$AJ$7+0.8*($P516)),0)</f>
        <v>6.8409254078249573</v>
      </c>
      <c r="O516" s="61">
        <f t="shared" si="14"/>
        <v>87.499999999999005</v>
      </c>
      <c r="P516" s="24">
        <f t="shared" si="15"/>
        <v>1.4285714285715585</v>
      </c>
    </row>
    <row r="517" spans="12:16" x14ac:dyDescent="0.3">
      <c r="L517" s="24">
        <f>IF('3. Detention'!$Z$7&gt;0.2*($P517),('3. Detention'!$Z$7-0.2*($P517))^2/('3. Detention'!$Z$7+0.8*($P517)),0)</f>
        <v>1.9103573001041505</v>
      </c>
      <c r="M517" s="24">
        <f>IF('3. Detention'!$AE$7&gt;0.2*($P517),('3. Detention'!$AE$7-0.2*($P517))^2/('3. Detention'!$AE$7+0.8*($P517)),0)</f>
        <v>3.8462989811861754</v>
      </c>
      <c r="N517" s="24">
        <f>IF('3. Detention'!$AJ$7&gt;0.2*($P517),('3. Detention'!$AJ$7-0.2*($P517))^2/('3. Detention'!$AJ$7+0.8*($P517)),0)</f>
        <v>6.8529009532192848</v>
      </c>
      <c r="O517" s="61">
        <f t="shared" si="14"/>
        <v>87.599999999999</v>
      </c>
      <c r="P517" s="24">
        <f t="shared" si="15"/>
        <v>1.4155251141553808</v>
      </c>
    </row>
    <row r="518" spans="12:16" x14ac:dyDescent="0.3">
      <c r="L518" s="24">
        <f>IF('3. Detention'!$Z$7&gt;0.2*($P518),('3. Detention'!$Z$7-0.2*($P518))^2/('3. Detention'!$Z$7+0.8*($P518)),0)</f>
        <v>1.9185165046504231</v>
      </c>
      <c r="M518" s="24">
        <f>IF('3. Detention'!$AE$7&gt;0.2*($P518),('3. Detention'!$AE$7-0.2*($P518))^2/('3. Detention'!$AE$7+0.8*($P518)),0)</f>
        <v>3.8566604114649641</v>
      </c>
      <c r="N518" s="24">
        <f>IF('3. Detention'!$AJ$7&gt;0.2*($P518),('3. Detention'!$AJ$7-0.2*($P518))^2/('3. Detention'!$AJ$7+0.8*($P518)),0)</f>
        <v>6.864876951422068</v>
      </c>
      <c r="O518" s="61">
        <f t="shared" si="14"/>
        <v>87.699999999998994</v>
      </c>
      <c r="P518" s="24">
        <f t="shared" si="15"/>
        <v>1.4025085518815441</v>
      </c>
    </row>
    <row r="519" spans="12:16" x14ac:dyDescent="0.3">
      <c r="L519" s="24">
        <f>IF('3. Detention'!$Z$7&gt;0.2*($P519),('3. Detention'!$Z$7-0.2*($P519))^2/('3. Detention'!$Z$7+0.8*($P519)),0)</f>
        <v>1.9267001318099872</v>
      </c>
      <c r="M519" s="24">
        <f>IF('3. Detention'!$AE$7&gt;0.2*($P519),('3. Detention'!$AE$7-0.2*($P519))^2/('3. Detention'!$AE$7+0.8*($P519)),0)</f>
        <v>3.8670342812666556</v>
      </c>
      <c r="N519" s="24">
        <f>IF('3. Detention'!$AJ$7&gt;0.2*($P519),('3. Detention'!$AJ$7-0.2*($P519))^2/('3. Detention'!$AJ$7+0.8*($P519)),0)</f>
        <v>6.8768533974775536</v>
      </c>
      <c r="O519" s="61">
        <f t="shared" si="14"/>
        <v>87.799999999998988</v>
      </c>
      <c r="P519" s="24">
        <f t="shared" si="15"/>
        <v>1.3895216400912478</v>
      </c>
    </row>
    <row r="520" spans="12:16" x14ac:dyDescent="0.3">
      <c r="L520" s="24">
        <f>IF('3. Detention'!$Z$7&gt;0.2*($P520),('3. Detention'!$Z$7-0.2*($P520))^2/('3. Detention'!$Z$7+0.8*($P520)),0)</f>
        <v>1.9349082662389965</v>
      </c>
      <c r="M520" s="24">
        <f>IF('3. Detention'!$AE$7&gt;0.2*($P520),('3. Detention'!$AE$7-0.2*($P520))^2/('3. Detention'!$AE$7+0.8*($P520)),0)</f>
        <v>3.8774206018926072</v>
      </c>
      <c r="N520" s="24">
        <f>IF('3. Detention'!$AJ$7&gt;0.2*($P520),('3. Detention'!$AJ$7-0.2*($P520))^2/('3. Detention'!$AJ$7+0.8*($P520)),0)</f>
        <v>6.8888302864531097</v>
      </c>
      <c r="O520" s="61">
        <f t="shared" si="14"/>
        <v>87.899999999998983</v>
      </c>
      <c r="P520" s="24">
        <f t="shared" si="15"/>
        <v>1.3765642775883009</v>
      </c>
    </row>
    <row r="521" spans="12:16" x14ac:dyDescent="0.3">
      <c r="L521" s="24">
        <f>IF('3. Detention'!$Z$7&gt;0.2*($P521),('3. Detention'!$Z$7-0.2*($P521))^2/('3. Detention'!$Z$7+0.8*($P521)),0)</f>
        <v>1.9431409930850427</v>
      </c>
      <c r="M521" s="24">
        <f>IF('3. Detention'!$AE$7&gt;0.2*($P521),('3. Detention'!$AE$7-0.2*($P521))^2/('3. Detention'!$AE$7+0.8*($P521)),0)</f>
        <v>3.8878193846997617</v>
      </c>
      <c r="N521" s="24">
        <f>IF('3. Detention'!$AJ$7&gt;0.2*($P521),('3. Detention'!$AJ$7-0.2*($P521))^2/('3. Detention'!$AJ$7+0.8*($P521)),0)</f>
        <v>6.9008076134390688</v>
      </c>
      <c r="O521" s="61">
        <f t="shared" si="14"/>
        <v>87.999999999998977</v>
      </c>
      <c r="P521" s="24">
        <f t="shared" si="15"/>
        <v>1.3636363636364965</v>
      </c>
    </row>
    <row r="522" spans="12:16" x14ac:dyDescent="0.3">
      <c r="L522" s="24">
        <f>IF('3. Detention'!$Z$7&gt;0.2*($P522),('3. Detention'!$Z$7-0.2*($P522))^2/('3. Detention'!$Z$7+0.8*($P522)),0)</f>
        <v>1.9513983979900789</v>
      </c>
      <c r="M522" s="24">
        <f>IF('3. Detention'!$AE$7&gt;0.2*($P522),('3. Detention'!$AE$7-0.2*($P522))^2/('3. Detention'!$AE$7+0.8*($P522)),0)</f>
        <v>3.8982306411006031</v>
      </c>
      <c r="N522" s="24">
        <f>IF('3. Detention'!$AJ$7&gt;0.2*($P522),('3. Detention'!$AJ$7-0.2*($P522))^2/('3. Detention'!$AJ$7+0.8*($P522)),0)</f>
        <v>6.9127853735486191</v>
      </c>
      <c r="O522" s="61">
        <f t="shared" si="14"/>
        <v>88.099999999998971</v>
      </c>
      <c r="P522" s="24">
        <f t="shared" si="15"/>
        <v>1.3507377979570006</v>
      </c>
    </row>
    <row r="523" spans="12:16" x14ac:dyDescent="0.3">
      <c r="L523" s="24">
        <f>IF('3. Detention'!$Z$7&gt;0.2*($P523),('3. Detention'!$Z$7-0.2*($P523))^2/('3. Detention'!$Z$7+0.8*($P523)),0)</f>
        <v>1.9596805670933817</v>
      </c>
      <c r="M523" s="24">
        <f>IF('3. Detention'!$AE$7&gt;0.2*($P523),('3. Detention'!$AE$7-0.2*($P523))^2/('3. Detention'!$AE$7+0.8*($P523)),0)</f>
        <v>3.9086543825631122</v>
      </c>
      <c r="N523" s="24">
        <f>IF('3. Detention'!$AJ$7&gt;0.2*($P523),('3. Detention'!$AJ$7-0.2*($P523))^2/('3. Detention'!$AJ$7+0.8*($P523)),0)</f>
        <v>6.9247635619176684</v>
      </c>
      <c r="O523" s="61">
        <f t="shared" si="14"/>
        <v>88.199999999998965</v>
      </c>
      <c r="P523" s="24">
        <f t="shared" si="15"/>
        <v>1.3378684807257564</v>
      </c>
    </row>
    <row r="524" spans="12:16" x14ac:dyDescent="0.3">
      <c r="L524" s="24">
        <f>IF('3. Detention'!$Z$7&gt;0.2*($P524),('3. Detention'!$Z$7-0.2*($P524))^2/('3. Detention'!$Z$7+0.8*($P524)),0)</f>
        <v>1.9679875870345283</v>
      </c>
      <c r="M524" s="24">
        <f>IF('3. Detention'!$AE$7&gt;0.2*($P524),('3. Detention'!$AE$7-0.2*($P524))^2/('3. Detention'!$AE$7+0.8*($P524)),0)</f>
        <v>3.9190906206107057</v>
      </c>
      <c r="N524" s="24">
        <f>IF('3. Detention'!$AJ$7&gt;0.2*($P524),('3. Detention'!$AJ$7-0.2*($P524))^2/('3. Detention'!$AJ$7+0.8*($P524)),0)</f>
        <v>6.9367421737047072</v>
      </c>
      <c r="O524" s="61">
        <f t="shared" si="14"/>
        <v>88.29999999999896</v>
      </c>
      <c r="P524" s="24">
        <f t="shared" si="15"/>
        <v>1.3250283125709146</v>
      </c>
    </row>
    <row r="525" spans="12:16" x14ac:dyDescent="0.3">
      <c r="L525" s="24">
        <f>IF('3. Detention'!$Z$7&gt;0.2*($P525),('3. Detention'!$Z$7-0.2*($P525))^2/('3. Detention'!$Z$7+0.8*($P525)),0)</f>
        <v>1.9763195449564046</v>
      </c>
      <c r="M525" s="24">
        <f>IF('3. Detention'!$AE$7&gt;0.2*($P525),('3. Detention'!$AE$7-0.2*($P525))^2/('3. Detention'!$AE$7+0.8*($P525)),0)</f>
        <v>3.9295393668222065</v>
      </c>
      <c r="N525" s="24">
        <f>IF('3. Detention'!$AJ$7&gt;0.2*($P525),('3. Detention'!$AJ$7-0.2*($P525))^2/('3. Detention'!$AJ$7+0.8*($P525)),0)</f>
        <v>6.9487212040906892</v>
      </c>
      <c r="O525" s="61">
        <f t="shared" si="14"/>
        <v>88.399999999998954</v>
      </c>
      <c r="P525" s="24">
        <f t="shared" si="15"/>
        <v>1.3122171945702696</v>
      </c>
    </row>
    <row r="526" spans="12:16" x14ac:dyDescent="0.3">
      <c r="L526" s="24">
        <f>IF('3. Detention'!$Z$7&gt;0.2*($P526),('3. Detention'!$Z$7-0.2*($P526))^2/('3. Detention'!$Z$7+0.8*($P526)),0)</f>
        <v>1.9846765285082353</v>
      </c>
      <c r="M526" s="24">
        <f>IF('3. Detention'!$AE$7&gt;0.2*($P526),('3. Detention'!$AE$7-0.2*($P526))^2/('3. Detention'!$AE$7+0.8*($P526)),0)</f>
        <v>3.9400006328317896</v>
      </c>
      <c r="N526" s="24">
        <f>IF('3. Detention'!$AJ$7&gt;0.2*($P526),('3. Detention'!$AJ$7-0.2*($P526))^2/('3. Detention'!$AJ$7+0.8*($P526)),0)</f>
        <v>6.960700648278908</v>
      </c>
      <c r="O526" s="61">
        <f t="shared" si="14"/>
        <v>88.499999999998948</v>
      </c>
      <c r="P526" s="24">
        <f t="shared" si="15"/>
        <v>1.2994350282487215</v>
      </c>
    </row>
    <row r="527" spans="12:16" x14ac:dyDescent="0.3">
      <c r="L527" s="24">
        <f>IF('3. Detention'!$Z$7&gt;0.2*($P527),('3. Detention'!$Z$7-0.2*($P527))^2/('3. Detention'!$Z$7+0.8*($P527)),0)</f>
        <v>1.9930586258486431</v>
      </c>
      <c r="M527" s="24">
        <f>IF('3. Detention'!$AE$7&gt;0.2*($P527),('3. Detention'!$AE$7-0.2*($P527))^2/('3. Detention'!$AE$7+0.8*($P527)),0)</f>
        <v>3.9504744303289416</v>
      </c>
      <c r="N527" s="24">
        <f>IF('3. Detention'!$AJ$7&gt;0.2*($P527),('3. Detention'!$AJ$7-0.2*($P527))^2/('3. Detention'!$AJ$7+0.8*($P527)),0)</f>
        <v>6.9726805014948612</v>
      </c>
      <c r="O527" s="61">
        <f t="shared" si="14"/>
        <v>88.599999999998943</v>
      </c>
      <c r="P527" s="24">
        <f t="shared" si="15"/>
        <v>1.2866817155757548</v>
      </c>
    </row>
    <row r="528" spans="12:16" x14ac:dyDescent="0.3">
      <c r="L528" s="24">
        <f>IF('3. Detention'!$Z$7&gt;0.2*($P528),('3. Detention'!$Z$7-0.2*($P528))^2/('3. Detention'!$Z$7+0.8*($P528)),0)</f>
        <v>2.0014659256487319</v>
      </c>
      <c r="M528" s="24">
        <f>IF('3. Detention'!$AE$7&gt;0.2*($P528),('3. Detention'!$AE$7-0.2*($P528))^2/('3. Detention'!$AE$7+0.8*($P528)),0)</f>
        <v>3.9609607710584145</v>
      </c>
      <c r="N528" s="24">
        <f>IF('3. Detention'!$AJ$7&gt;0.2*($P528),('3. Detention'!$AJ$7-0.2*($P528))^2/('3. Detention'!$AJ$7+0.8*($P528)),0)</f>
        <v>6.9846607589861271</v>
      </c>
      <c r="O528" s="61">
        <f t="shared" si="14"/>
        <v>88.699999999998937</v>
      </c>
      <c r="P528" s="24">
        <f t="shared" si="15"/>
        <v>1.273957158962931</v>
      </c>
    </row>
    <row r="529" spans="12:16" x14ac:dyDescent="0.3">
      <c r="L529" s="24">
        <f>IF('3. Detention'!$Z$7&gt;0.2*($P529),('3. Detention'!$Z$7-0.2*($P529))^2/('3. Detention'!$Z$7+0.8*($P529)),0)</f>
        <v>2.0098985170951957</v>
      </c>
      <c r="M529" s="24">
        <f>IF('3. Detention'!$AE$7&gt;0.2*($P529),('3. Detention'!$AE$7-0.2*($P529))^2/('3. Detention'!$AE$7+0.8*($P529)),0)</f>
        <v>3.9714596668201883</v>
      </c>
      <c r="N529" s="24">
        <f>IF('3. Detention'!$AJ$7&gt;0.2*($P529),('3. Detention'!$AJ$7-0.2*($P529))^2/('3. Detention'!$AJ$7+0.8*($P529)),0)</f>
        <v>6.9966414160222499</v>
      </c>
      <c r="O529" s="61">
        <f t="shared" si="14"/>
        <v>88.799999999998931</v>
      </c>
      <c r="P529" s="24">
        <f t="shared" si="15"/>
        <v>1.2612612612613976</v>
      </c>
    </row>
    <row r="530" spans="12:16" x14ac:dyDescent="0.3">
      <c r="L530" s="24">
        <f>IF('3. Detention'!$Z$7&gt;0.2*($P530),('3. Detention'!$Z$7-0.2*($P530))^2/('3. Detention'!$Z$7+0.8*($P530)),0)</f>
        <v>2.0183564898934572</v>
      </c>
      <c r="M530" s="24">
        <f>IF('3. Detention'!$AE$7&gt;0.2*($P530),('3. Detention'!$AE$7-0.2*($P530))^2/('3. Detention'!$AE$7+0.8*($P530)),0)</f>
        <v>3.9819711294694318</v>
      </c>
      <c r="N530" s="24">
        <f>IF('3. Detention'!$AJ$7&gt;0.2*($P530),('3. Detention'!$AJ$7-0.2*($P530))^2/('3. Detention'!$AJ$7+0.8*($P530)),0)</f>
        <v>7.008622467894603</v>
      </c>
      <c r="O530" s="61">
        <f t="shared" si="14"/>
        <v>88.899999999998926</v>
      </c>
      <c r="P530" s="24">
        <f t="shared" si="15"/>
        <v>1.2485939257594154</v>
      </c>
    </row>
    <row r="531" spans="12:16" x14ac:dyDescent="0.3">
      <c r="L531" s="24">
        <f>IF('3. Detention'!$Z$7&gt;0.2*($P531),('3. Detention'!$Z$7-0.2*($P531))^2/('3. Detention'!$Z$7+0.8*($P531)),0)</f>
        <v>2.0268399342708254</v>
      </c>
      <c r="M531" s="24">
        <f>IF('3. Detention'!$AE$7&gt;0.2*($P531),('3. Detention'!$AE$7-0.2*($P531))^2/('3. Detention'!$AE$7+0.8*($P531)),0)</f>
        <v>3.992495170916452</v>
      </c>
      <c r="N531" s="24">
        <f>IF('3. Detention'!$AJ$7&gt;0.2*($P531),('3. Detention'!$AJ$7-0.2*($P531))^2/('3. Detention'!$AJ$7+0.8*($P531)),0)</f>
        <v>7.0206039099162725</v>
      </c>
      <c r="O531" s="61">
        <f t="shared" si="14"/>
        <v>88.99999999999892</v>
      </c>
      <c r="P531" s="24">
        <f t="shared" si="15"/>
        <v>1.2359550561799111</v>
      </c>
    </row>
    <row r="532" spans="12:16" x14ac:dyDescent="0.3">
      <c r="L532" s="24">
        <f>IF('3. Detention'!$Z$7&gt;0.2*($P532),('3. Detention'!$Z$7-0.2*($P532))^2/('3. Detention'!$Z$7+0.8*($P532)),0)</f>
        <v>2.0353489409796919</v>
      </c>
      <c r="M532" s="24">
        <f>IF('3. Detention'!$AE$7&gt;0.2*($P532),('3. Detention'!$AE$7-0.2*($P532))^2/('3. Detention'!$AE$7+0.8*($P532)),0)</f>
        <v>4.003031803126671</v>
      </c>
      <c r="N532" s="24">
        <f>IF('3. Detention'!$AJ$7&gt;0.2*($P532),('3. Detention'!$AJ$7-0.2*($P532))^2/('3. Detention'!$AJ$7+0.8*($P532)),0)</f>
        <v>7.0325857374219343</v>
      </c>
      <c r="O532" s="61">
        <f t="shared" si="14"/>
        <v>89.099999999998914</v>
      </c>
      <c r="P532" s="24">
        <f t="shared" si="15"/>
        <v>1.2233445566780272</v>
      </c>
    </row>
    <row r="533" spans="12:16" x14ac:dyDescent="0.3">
      <c r="L533" s="24">
        <f>IF('3. Detention'!$Z$7&gt;0.2*($P533),('3. Detention'!$Z$7-0.2*($P533))^2/('3. Detention'!$Z$7+0.8*($P533)),0)</f>
        <v>2.0438836013007471</v>
      </c>
      <c r="M533" s="24">
        <f>IF('3. Detention'!$AE$7&gt;0.2*($P533),('3. Detention'!$AE$7-0.2*($P533))^2/('3. Detention'!$AE$7+0.8*($P533)),0)</f>
        <v>4.0135810381205799</v>
      </c>
      <c r="N533" s="24">
        <f>IF('3. Detention'!$AJ$7&gt;0.2*($P533),('3. Detention'!$AJ$7-0.2*($P533))^2/('3. Detention'!$AJ$7+0.8*($P533)),0)</f>
        <v>7.0445679457677377</v>
      </c>
      <c r="O533" s="61">
        <f t="shared" si="14"/>
        <v>89.199999999998909</v>
      </c>
      <c r="P533" s="24">
        <f t="shared" si="15"/>
        <v>1.2107623318387031</v>
      </c>
    </row>
    <row r="534" spans="12:16" x14ac:dyDescent="0.3">
      <c r="L534" s="24">
        <f>IF('3. Detention'!$Z$7&gt;0.2*($P534),('3. Detention'!$Z$7-0.2*($P534))^2/('3. Detention'!$Z$7+0.8*($P534)),0)</f>
        <v>2.0524440070462209</v>
      </c>
      <c r="M534" s="24">
        <f>IF('3. Detention'!$AE$7&gt;0.2*($P534),('3. Detention'!$AE$7-0.2*($P534))^2/('3. Detention'!$AE$7+0.8*($P534)),0)</f>
        <v>4.0241428879737073</v>
      </c>
      <c r="N534" s="24">
        <f>IF('3. Detention'!$AJ$7&gt;0.2*($P534),('3. Detention'!$AJ$7-0.2*($P534))^2/('3. Detention'!$AJ$7+0.8*($P534)),0)</f>
        <v>7.0565505303311769</v>
      </c>
      <c r="O534" s="61">
        <f t="shared" si="14"/>
        <v>89.299999999998903</v>
      </c>
      <c r="P534" s="24">
        <f t="shared" si="15"/>
        <v>1.1982082866742694</v>
      </c>
    </row>
    <row r="535" spans="12:16" x14ac:dyDescent="0.3">
      <c r="L535" s="24">
        <f>IF('3. Detention'!$Z$7&gt;0.2*($P535),('3. Detention'!$Z$7-0.2*($P535))^2/('3. Detention'!$Z$7+0.8*($P535)),0)</f>
        <v>2.0610302505631557</v>
      </c>
      <c r="M535" s="24">
        <f>IF('3. Detention'!$AE$7&gt;0.2*($P535),('3. Detention'!$AE$7-0.2*($P535))^2/('3. Detention'!$AE$7+0.8*($P535)),0)</f>
        <v>4.0347173648165739</v>
      </c>
      <c r="N535" s="24">
        <f>IF('3. Detention'!$AJ$7&gt;0.2*($P535),('3. Detention'!$AJ$7-0.2*($P535))^2/('3. Detention'!$AJ$7+0.8*($P535)),0)</f>
        <v>7.0685334865109724</v>
      </c>
      <c r="O535" s="61">
        <f t="shared" si="14"/>
        <v>89.399999999998897</v>
      </c>
      <c r="P535" s="24">
        <f t="shared" si="15"/>
        <v>1.1856823266220626</v>
      </c>
    </row>
    <row r="536" spans="12:16" x14ac:dyDescent="0.3">
      <c r="L536" s="24">
        <f>IF('3. Detention'!$Z$7&gt;0.2*($P536),('3. Detention'!$Z$7-0.2*($P536))^2/('3. Detention'!$Z$7+0.8*($P536)),0)</f>
        <v>2.0696424247367093</v>
      </c>
      <c r="M536" s="24">
        <f>IF('3. Detention'!$AE$7&gt;0.2*($P536),('3. Detention'!$AE$7-0.2*($P536))^2/('3. Detention'!$AE$7+0.8*($P536)),0)</f>
        <v>4.0453044808346741</v>
      </c>
      <c r="N536" s="24">
        <f>IF('3. Detention'!$AJ$7&gt;0.2*($P536),('3. Detention'!$AJ$7-0.2*($P536))^2/('3. Detention'!$AJ$7+0.8*($P536)),0)</f>
        <v>7.0805168097269675</v>
      </c>
      <c r="O536" s="61">
        <f t="shared" si="14"/>
        <v>89.499999999998892</v>
      </c>
      <c r="P536" s="24">
        <f t="shared" si="15"/>
        <v>1.1731843575420378</v>
      </c>
    </row>
    <row r="537" spans="12:16" x14ac:dyDescent="0.3">
      <c r="L537" s="24">
        <f>IF('3. Detention'!$Z$7&gt;0.2*($P537),('3. Detention'!$Z$7-0.2*($P537))^2/('3. Detention'!$Z$7+0.8*($P537)),0)</f>
        <v>2.0782806229934825</v>
      </c>
      <c r="M537" s="24">
        <f>IF('3. Detention'!$AE$7&gt;0.2*($P537),('3. Detention'!$AE$7-0.2*($P537))^2/('3. Detention'!$AE$7+0.8*($P537)),0)</f>
        <v>4.0559042482684307</v>
      </c>
      <c r="N537" s="24">
        <f>IF('3. Detention'!$AJ$7&gt;0.2*($P537),('3. Detention'!$AJ$7-0.2*($P537))^2/('3. Detention'!$AJ$7+0.8*($P537)),0)</f>
        <v>7.0925004954199826</v>
      </c>
      <c r="O537" s="61">
        <f t="shared" si="14"/>
        <v>89.599999999998886</v>
      </c>
      <c r="P537" s="24">
        <f t="shared" si="15"/>
        <v>1.160714285714425</v>
      </c>
    </row>
    <row r="538" spans="12:16" x14ac:dyDescent="0.3">
      <c r="L538" s="24">
        <f>IF('3. Detention'!$Z$7&gt;0.2*($P538),('3. Detention'!$Z$7-0.2*($P538))^2/('3. Detention'!$Z$7+0.8*($P538)),0)</f>
        <v>2.0869449393048747</v>
      </c>
      <c r="M538" s="24">
        <f>IF('3. Detention'!$AE$7&gt;0.2*($P538),('3. Detention'!$AE$7-0.2*($P538))^2/('3. Detention'!$AE$7+0.8*($P538)),0)</f>
        <v>4.0665166794131684</v>
      </c>
      <c r="N538" s="24">
        <f>IF('3. Detention'!$AJ$7&gt;0.2*($P538),('3. Detention'!$AJ$7-0.2*($P538))^2/('3. Detention'!$AJ$7+0.8*($P538)),0)</f>
        <v>7.1044845390517235</v>
      </c>
      <c r="O538" s="61">
        <f t="shared" si="14"/>
        <v>89.69999999999888</v>
      </c>
      <c r="P538" s="24">
        <f t="shared" si="15"/>
        <v>1.1482720178373746</v>
      </c>
    </row>
    <row r="539" spans="12:16" x14ac:dyDescent="0.3">
      <c r="L539" s="24">
        <f>IF('3. Detention'!$Z$7&gt;0.2*($P539),('3. Detention'!$Z$7-0.2*($P539))^2/('3. Detention'!$Z$7+0.8*($P539)),0)</f>
        <v>2.0956354681904665</v>
      </c>
      <c r="M539" s="24">
        <f>IF('3. Detention'!$AE$7&gt;0.2*($P539),('3. Detention'!$AE$7-0.2*($P539))^2/('3. Detention'!$AE$7+0.8*($P539)),0)</f>
        <v>4.0771417866190793</v>
      </c>
      <c r="N539" s="24">
        <f>IF('3. Detention'!$AJ$7&gt;0.2*($P539),('3. Detention'!$AJ$7-0.2*($P539))^2/('3. Detention'!$AJ$7+0.8*($P539)),0)</f>
        <v>7.1164689361046509</v>
      </c>
      <c r="O539" s="61">
        <f t="shared" ref="O539:O602" si="16">O538+0.1</f>
        <v>89.799999999998875</v>
      </c>
      <c r="P539" s="24">
        <f t="shared" si="15"/>
        <v>1.1358574610246386</v>
      </c>
    </row>
    <row r="540" spans="12:16" x14ac:dyDescent="0.3">
      <c r="L540" s="24">
        <f>IF('3. Detention'!$Z$7&gt;0.2*($P540),('3. Detention'!$Z$7-0.2*($P540))^2/('3. Detention'!$Z$7+0.8*($P540)),0)</f>
        <v>2.1043523047214401</v>
      </c>
      <c r="M540" s="24">
        <f>IF('3. Detention'!$AE$7&gt;0.2*($P540),('3. Detention'!$AE$7-0.2*($P540))^2/('3. Detention'!$AE$7+0.8*($P540)),0)</f>
        <v>4.0877795822912004</v>
      </c>
      <c r="N540" s="24">
        <f>IF('3. Detention'!$AJ$7&gt;0.2*($P540),('3. Detention'!$AJ$7-0.2*($P540))^2/('3. Detention'!$AJ$7+0.8*($P540)),0)</f>
        <v>7.1284536820818714</v>
      </c>
      <c r="O540" s="61">
        <f t="shared" si="16"/>
        <v>89.899999999998869</v>
      </c>
      <c r="P540" s="24">
        <f t="shared" si="15"/>
        <v>1.1234705228032542</v>
      </c>
    </row>
    <row r="541" spans="12:16" x14ac:dyDescent="0.3">
      <c r="L541" s="24">
        <f>IF('3. Detention'!$Z$7&gt;0.2*($P541),('3. Detention'!$Z$7-0.2*($P541))^2/('3. Detention'!$Z$7+0.8*($P541)),0)</f>
        <v>2.1130955445240169</v>
      </c>
      <c r="M541" s="24">
        <f>IF('3. Detention'!$AE$7&gt;0.2*($P541),('3. Detention'!$AE$7-0.2*($P541))^2/('3. Detention'!$AE$7+0.8*($P541)),0)</f>
        <v>4.0984300788893737</v>
      </c>
      <c r="N541" s="24">
        <f>IF('3. Detention'!$AJ$7&gt;0.2*($P541),('3. Detention'!$AJ$7-0.2*($P541))^2/('3. Detention'!$AJ$7+0.8*($P541)),0)</f>
        <v>7.1404387725070206</v>
      </c>
      <c r="O541" s="61">
        <f t="shared" si="16"/>
        <v>89.999999999998863</v>
      </c>
      <c r="P541" s="24">
        <f t="shared" si="15"/>
        <v>1.111111111111251</v>
      </c>
    </row>
    <row r="542" spans="12:16" x14ac:dyDescent="0.3">
      <c r="L542" s="24">
        <f>IF('3. Detention'!$Z$7&gt;0.2*($P542),('3. Detention'!$Z$7-0.2*($P542))^2/('3. Detention'!$Z$7+0.8*($P542)),0)</f>
        <v>2.1218652837829324</v>
      </c>
      <c r="M542" s="24">
        <f>IF('3. Detention'!$AE$7&gt;0.2*($P542),('3. Detention'!$AE$7-0.2*($P542))^2/('3. Detention'!$AE$7+0.8*($P542)),0)</f>
        <v>4.1090932889282286</v>
      </c>
      <c r="N542" s="24">
        <f>IF('3. Detention'!$AJ$7&gt;0.2*($P542),('3. Detention'!$AJ$7-0.2*($P542))^2/('3. Detention'!$AJ$7+0.8*($P542)),0)</f>
        <v>7.1524242029241467</v>
      </c>
      <c r="O542" s="61">
        <f t="shared" si="16"/>
        <v>90.099999999998857</v>
      </c>
      <c r="P542" s="24">
        <f t="shared" si="15"/>
        <v>1.0987791342953681</v>
      </c>
    </row>
    <row r="543" spans="12:16" x14ac:dyDescent="0.3">
      <c r="L543" s="24">
        <f>IF('3. Detention'!$Z$7&gt;0.2*($P543),('3. Detention'!$Z$7-0.2*($P543))^2/('3. Detention'!$Z$7+0.8*($P543)),0)</f>
        <v>2.1306616192449401</v>
      </c>
      <c r="M543" s="24">
        <f>IF('3. Detention'!$AE$7&gt;0.2*($P543),('3. Detention'!$AE$7-0.2*($P543))^2/('3. Detention'!$AE$7+0.8*($P543)),0)</f>
        <v>4.1197692249771487</v>
      </c>
      <c r="N543" s="24">
        <f>IF('3. Detention'!$AJ$7&gt;0.2*($P543),('3. Detention'!$AJ$7-0.2*($P543))^2/('3. Detention'!$AJ$7+0.8*($P543)),0)</f>
        <v>7.1644099688975995</v>
      </c>
      <c r="O543" s="61">
        <f t="shared" si="16"/>
        <v>90.199999999998852</v>
      </c>
      <c r="P543" s="24">
        <f t="shared" si="15"/>
        <v>1.0864745011087891</v>
      </c>
    </row>
    <row r="544" spans="12:16" x14ac:dyDescent="0.3">
      <c r="L544" s="24">
        <f>IF('3. Detention'!$Z$7&gt;0.2*($P544),('3. Detention'!$Z$7-0.2*($P544))^2/('3. Detention'!$Z$7+0.8*($P544)),0)</f>
        <v>2.139484648222342</v>
      </c>
      <c r="M544" s="24">
        <f>IF('3. Detention'!$AE$7&gt;0.2*($P544),('3. Detention'!$AE$7-0.2*($P544))^2/('3. Detention'!$AE$7+0.8*($P544)),0)</f>
        <v>4.1304578996602501</v>
      </c>
      <c r="N544" s="24">
        <f>IF('3. Detention'!$AJ$7&gt;0.2*($P544),('3. Detention'!$AJ$7-0.2*($P544))^2/('3. Detention'!$AJ$7+0.8*($P544)),0)</f>
        <v>7.1763960660119217</v>
      </c>
      <c r="O544" s="61">
        <f t="shared" si="16"/>
        <v>90.299999999998846</v>
      </c>
      <c r="P544" s="24">
        <f t="shared" si="15"/>
        <v>1.0741971207088898</v>
      </c>
    </row>
    <row r="545" spans="12:16" x14ac:dyDescent="0.3">
      <c r="L545" s="24">
        <f>IF('3. Detention'!$Z$7&gt;0.2*($P545),('3. Detention'!$Z$7-0.2*($P545))^2/('3. Detention'!$Z$7+0.8*($P545)),0)</f>
        <v>2.1483344685965506</v>
      </c>
      <c r="M545" s="24">
        <f>IF('3. Detention'!$AE$7&gt;0.2*($P545),('3. Detention'!$AE$7-0.2*($P545))^2/('3. Detention'!$AE$7+0.8*($P545)),0)</f>
        <v>4.1411593256563526</v>
      </c>
      <c r="N545" s="24">
        <f>IF('3. Detention'!$AJ$7&gt;0.2*($P545),('3. Detention'!$AJ$7-0.2*($P545))^2/('3. Detention'!$AJ$7+0.8*($P545)),0)</f>
        <v>7.1883824898717261</v>
      </c>
      <c r="O545" s="61">
        <f t="shared" si="16"/>
        <v>90.39999999999884</v>
      </c>
      <c r="P545" s="24">
        <f t="shared" si="15"/>
        <v>1.0619469026550092</v>
      </c>
    </row>
    <row r="546" spans="12:16" x14ac:dyDescent="0.3">
      <c r="L546" s="24">
        <f>IF('3. Detention'!$Z$7&gt;0.2*($P546),('3. Detention'!$Z$7-0.2*($P546))^2/('3. Detention'!$Z$7+0.8*($P546)),0)</f>
        <v>2.1572111788216839</v>
      </c>
      <c r="M546" s="24">
        <f>IF('3. Detention'!$AE$7&gt;0.2*($P546),('3. Detention'!$AE$7-0.2*($P546))^2/('3. Detention'!$AE$7+0.8*($P546)),0)</f>
        <v>4.151873515698961</v>
      </c>
      <c r="N546" s="24">
        <f>IF('3. Detention'!$AJ$7&gt;0.2*($P546),('3. Detention'!$AJ$7-0.2*($P546))^2/('3. Detention'!$AJ$7+0.8*($P546)),0)</f>
        <v>7.2003692361016016</v>
      </c>
      <c r="O546" s="61">
        <f t="shared" si="16"/>
        <v>90.499999999998835</v>
      </c>
      <c r="P546" s="24">
        <f t="shared" si="15"/>
        <v>1.0497237569062197</v>
      </c>
    </row>
    <row r="547" spans="12:16" x14ac:dyDescent="0.3">
      <c r="L547" s="24">
        <f>IF('3. Detention'!$Z$7&gt;0.2*($P547),('3. Detention'!$Z$7-0.2*($P547))^2/('3. Detention'!$Z$7+0.8*($P547)),0)</f>
        <v>2.1661148779281865</v>
      </c>
      <c r="M547" s="24">
        <f>IF('3. Detention'!$AE$7&gt;0.2*($P547),('3. Detention'!$AE$7-0.2*($P547))^2/('3. Detention'!$AE$7+0.8*($P547)),0)</f>
        <v>4.1626004825762335</v>
      </c>
      <c r="N547" s="24">
        <f>IF('3. Detention'!$AJ$7&gt;0.2*($P547),('3. Detention'!$AJ$7-0.2*($P547))^2/('3. Detention'!$AJ$7+0.8*($P547)),0)</f>
        <v>7.2123563003459799</v>
      </c>
      <c r="O547" s="61">
        <f t="shared" si="16"/>
        <v>90.599999999998829</v>
      </c>
      <c r="P547" s="24">
        <f t="shared" si="15"/>
        <v>1.037527593819128</v>
      </c>
    </row>
    <row r="548" spans="12:16" x14ac:dyDescent="0.3">
      <c r="L548" s="24">
        <f>IF('3. Detention'!$Z$7&gt;0.2*($P548),('3. Detention'!$Z$7-0.2*($P548))^2/('3. Detention'!$Z$7+0.8*($P548)),0)</f>
        <v>2.175045665526488</v>
      </c>
      <c r="M548" s="24">
        <f>IF('3. Detention'!$AE$7&gt;0.2*($P548),('3. Detention'!$AE$7-0.2*($P548))^2/('3. Detention'!$AE$7+0.8*($P548)),0)</f>
        <v>4.1733402391309733</v>
      </c>
      <c r="N548" s="24">
        <f>IF('3. Detention'!$AJ$7&gt;0.2*($P548),('3. Detention'!$AJ$7-0.2*($P548))^2/('3. Detention'!$AJ$7+0.8*($P548)),0)</f>
        <v>7.2243436782690535</v>
      </c>
      <c r="O548" s="61">
        <f t="shared" si="16"/>
        <v>90.699999999998823</v>
      </c>
      <c r="P548" s="24">
        <f t="shared" si="15"/>
        <v>1.0253583241456781</v>
      </c>
    </row>
    <row r="549" spans="12:16" x14ac:dyDescent="0.3">
      <c r="L549" s="24">
        <f>IF('3. Detention'!$Z$7&gt;0.2*($P549),('3. Detention'!$Z$7-0.2*($P549))^2/('3. Detention'!$Z$7+0.8*($P549)),0)</f>
        <v>2.1840036418106878</v>
      </c>
      <c r="M549" s="24">
        <f>IF('3. Detention'!$AE$7&gt;0.2*($P549),('3. Detention'!$AE$7-0.2*($P549))^2/('3. Detention'!$AE$7+0.8*($P549)),0)</f>
        <v>4.1840927982605942</v>
      </c>
      <c r="N549" s="24">
        <f>IF('3. Detention'!$AJ$7&gt;0.2*($P549),('3. Detention'!$AJ$7-0.2*($P549))^2/('3. Detention'!$AJ$7+0.8*($P549)),0)</f>
        <v>7.2363313655546406</v>
      </c>
      <c r="O549" s="61">
        <f t="shared" si="16"/>
        <v>90.799999999998818</v>
      </c>
      <c r="P549" s="24">
        <f t="shared" si="15"/>
        <v>1.0132158590309803</v>
      </c>
    </row>
    <row r="550" spans="12:16" x14ac:dyDescent="0.3">
      <c r="L550" s="24">
        <f>IF('3. Detention'!$Z$7&gt;0.2*($P550),('3. Detention'!$Z$7-0.2*($P550))^2/('3. Detention'!$Z$7+0.8*($P550)),0)</f>
        <v>2.1929889075622704</v>
      </c>
      <c r="M550" s="24">
        <f>IF('3. Detention'!$AE$7&gt;0.2*($P550),('3. Detention'!$AE$7-0.2*($P550))^2/('3. Detention'!$AE$7+0.8*($P550)),0)</f>
        <v>4.1948581729171099</v>
      </c>
      <c r="N550" s="24">
        <f>IF('3. Detention'!$AJ$7&gt;0.2*($P550),('3. Detention'!$AJ$7-0.2*($P550))^2/('3. Detention'!$AJ$7+0.8*($P550)),0)</f>
        <v>7.2483193579060954</v>
      </c>
      <c r="O550" s="61">
        <f t="shared" si="16"/>
        <v>90.899999999998812</v>
      </c>
      <c r="P550" s="24">
        <f t="shared" si="15"/>
        <v>1.0011001100111443</v>
      </c>
    </row>
    <row r="551" spans="12:16" x14ac:dyDescent="0.3">
      <c r="L551" s="24">
        <f>IF('3. Detention'!$Z$7&gt;0.2*($P551),('3. Detention'!$Z$7-0.2*($P551))^2/('3. Detention'!$Z$7+0.8*($P551)),0)</f>
        <v>2.2020015641538579</v>
      </c>
      <c r="M551" s="24">
        <f>IF('3. Detention'!$AE$7&gt;0.2*($P551),('3. Detention'!$AE$7-0.2*($P551))^2/('3. Detention'!$AE$7+0.8*($P551)),0)</f>
        <v>4.2056363761071109</v>
      </c>
      <c r="N551" s="24">
        <f>IF('3. Detention'!$AJ$7&gt;0.2*($P551),('3. Detention'!$AJ$7-0.2*($P551))^2/('3. Detention'!$AJ$7+0.8*($P551)),0)</f>
        <v>7.2603076510461886</v>
      </c>
      <c r="O551" s="61">
        <f t="shared" si="16"/>
        <v>90.999999999998806</v>
      </c>
      <c r="P551" s="24">
        <f t="shared" si="15"/>
        <v>0.98901098901113293</v>
      </c>
    </row>
    <row r="552" spans="12:16" x14ac:dyDescent="0.3">
      <c r="L552" s="24">
        <f>IF('3. Detention'!$Z$7&gt;0.2*($P552),('3. Detention'!$Z$7-0.2*($P552))^2/('3. Detention'!$Z$7+0.8*($P552)),0)</f>
        <v>2.2110417135529916</v>
      </c>
      <c r="M552" s="24">
        <f>IF('3. Detention'!$AE$7&gt;0.2*($P552),('3. Detention'!$AE$7-0.2*($P552))^2/('3. Detention'!$AE$7+0.8*($P552)),0)</f>
        <v>4.2164274208917485</v>
      </c>
      <c r="N552" s="24">
        <f>IF('3. Detention'!$AJ$7&gt;0.2*($P552),('3. Detention'!$AJ$7-0.2*($P552))^2/('3. Detention'!$AJ$7+0.8*($P552)),0)</f>
        <v>7.2722962407170142</v>
      </c>
      <c r="O552" s="61">
        <f t="shared" si="16"/>
        <v>91.099999999998801</v>
      </c>
      <c r="P552" s="24">
        <f t="shared" si="15"/>
        <v>0.97694840834262564</v>
      </c>
    </row>
    <row r="553" spans="12:16" x14ac:dyDescent="0.3">
      <c r="L553" s="24">
        <f>IF('3. Detention'!$Z$7&gt;0.2*($P553),('3. Detention'!$Z$7-0.2*($P553))^2/('3. Detention'!$Z$7+0.8*($P553)),0)</f>
        <v>2.2201094583259464</v>
      </c>
      <c r="M553" s="24">
        <f>IF('3. Detention'!$AE$7&gt;0.2*($P553),('3. Detention'!$AE$7-0.2*($P553))^2/('3. Detention'!$AE$7+0.8*($P553)),0)</f>
        <v>4.2272313203867169</v>
      </c>
      <c r="N553" s="24">
        <f>IF('3. Detention'!$AJ$7&gt;0.2*($P553),('3. Detention'!$AJ$7-0.2*($P553))^2/('3. Detention'!$AJ$7+0.8*($P553)),0)</f>
        <v>7.2842851226798659</v>
      </c>
      <c r="O553" s="61">
        <f t="shared" si="16"/>
        <v>91.199999999998795</v>
      </c>
      <c r="P553" s="24">
        <f t="shared" ref="P553:P616" si="17">IF(O553&gt;0,1000/O553-10,1000)</f>
        <v>0.96491228070189905</v>
      </c>
    </row>
    <row r="554" spans="12:16" x14ac:dyDescent="0.3">
      <c r="L554" s="24">
        <f>IF('3. Detention'!$Z$7&gt;0.2*($P554),('3. Detention'!$Z$7-0.2*($P554))^2/('3. Detention'!$Z$7+0.8*($P554)),0)</f>
        <v>2.2292049016415763</v>
      </c>
      <c r="M554" s="24">
        <f>IF('3. Detention'!$AE$7&gt;0.2*($P554),('3. Detention'!$AE$7-0.2*($P554))^2/('3. Detention'!$AE$7+0.8*($P554)),0)</f>
        <v>4.2380480877622375</v>
      </c>
      <c r="N554" s="24">
        <f>IF('3. Detention'!$AJ$7&gt;0.2*($P554),('3. Detention'!$AJ$7-0.2*($P554))^2/('3. Detention'!$AJ$7+0.8*($P554)),0)</f>
        <v>7.2962742927151503</v>
      </c>
      <c r="O554" s="61">
        <f t="shared" si="16"/>
        <v>91.299999999998789</v>
      </c>
      <c r="P554" s="24">
        <f t="shared" si="17"/>
        <v>0.95290251916772384</v>
      </c>
    </row>
    <row r="555" spans="12:16" x14ac:dyDescent="0.3">
      <c r="L555" s="24">
        <f>IF('3. Detention'!$Z$7&gt;0.2*($P555),('3. Detention'!$Z$7-0.2*($P555))^2/('3. Detention'!$Z$7+0.8*($P555)),0)</f>
        <v>2.2383281472751952</v>
      </c>
      <c r="M555" s="24">
        <f>IF('3. Detention'!$AE$7&gt;0.2*($P555),('3. Detention'!$AE$7-0.2*($P555))^2/('3. Detention'!$AE$7+0.8*($P555)),0)</f>
        <v>4.2488777362430428</v>
      </c>
      <c r="N555" s="24">
        <f>IF('3. Detention'!$AJ$7&gt;0.2*($P555),('3. Detention'!$AJ$7-0.2*($P555))^2/('3. Detention'!$AJ$7+0.8*($P555)),0)</f>
        <v>7.308263746622262</v>
      </c>
      <c r="O555" s="61">
        <f t="shared" si="16"/>
        <v>91.399999999998784</v>
      </c>
      <c r="P555" s="24">
        <f t="shared" si="17"/>
        <v>0.94091903719927039</v>
      </c>
    </row>
    <row r="556" spans="12:16" x14ac:dyDescent="0.3">
      <c r="L556" s="24">
        <f>IF('3. Detention'!$Z$7&gt;0.2*($P556),('3. Detention'!$Z$7-0.2*($P556))^2/('3. Detention'!$Z$7+0.8*($P556)),0)</f>
        <v>2.247479299612495</v>
      </c>
      <c r="M556" s="24">
        <f>IF('3. Detention'!$AE$7&gt;0.2*($P556),('3. Detention'!$AE$7-0.2*($P556))^2/('3. Detention'!$AE$7+0.8*($P556)),0)</f>
        <v>4.2597202791083681</v>
      </c>
      <c r="N556" s="24">
        <f>IF('3. Detention'!$AJ$7&gt;0.2*($P556),('3. Detention'!$AJ$7-0.2*($P556))^2/('3. Detention'!$AJ$7+0.8*($P556)),0)</f>
        <v>7.3202534802195061</v>
      </c>
      <c r="O556" s="61">
        <f t="shared" si="16"/>
        <v>91.499999999998778</v>
      </c>
      <c r="P556" s="24">
        <f t="shared" si="17"/>
        <v>0.92896174863402514</v>
      </c>
    </row>
    <row r="557" spans="12:16" x14ac:dyDescent="0.3">
      <c r="L557" s="24">
        <f>IF('3. Detention'!$Z$7&gt;0.2*($P557),('3. Detention'!$Z$7-0.2*($P557))^2/('3. Detention'!$Z$7+0.8*($P557)),0)</f>
        <v>2.2566584636534839</v>
      </c>
      <c r="M557" s="24">
        <f>IF('3. Detention'!$AE$7&gt;0.2*($P557),('3. Detention'!$AE$7-0.2*($P557))^2/('3. Detention'!$AE$7+0.8*($P557)),0)</f>
        <v>4.27057572969193</v>
      </c>
      <c r="N557" s="24">
        <f>IF('3. Detention'!$AJ$7&gt;0.2*($P557),('3. Detention'!$AJ$7-0.2*($P557))^2/('3. Detention'!$AJ$7+0.8*($P557)),0)</f>
        <v>7.3322434893439663</v>
      </c>
      <c r="O557" s="61">
        <f t="shared" si="16"/>
        <v>91.599999999998772</v>
      </c>
      <c r="P557" s="24">
        <f t="shared" si="17"/>
        <v>0.91703056768573532</v>
      </c>
    </row>
    <row r="558" spans="12:16" x14ac:dyDescent="0.3">
      <c r="L558" s="24">
        <f>IF('3. Detention'!$Z$7&gt;0.2*($P558),('3. Detention'!$Z$7-0.2*($P558))^2/('3. Detention'!$Z$7+0.8*($P558)),0)</f>
        <v>2.2658657450164745</v>
      </c>
      <c r="M558" s="24">
        <f>IF('3. Detention'!$AE$7&gt;0.2*($P558),('3. Detention'!$AE$7-0.2*($P558))^2/('3. Detention'!$AE$7+0.8*($P558)),0)</f>
        <v>4.2814441013819176</v>
      </c>
      <c r="N558" s="24">
        <f>IF('3. Detention'!$AJ$7&gt;0.2*($P558),('3. Detention'!$AJ$7-0.2*($P558))^2/('3. Detention'!$AJ$7+0.8*($P558)),0)</f>
        <v>7.3442337698514217</v>
      </c>
      <c r="O558" s="61">
        <f t="shared" si="16"/>
        <v>91.699999999998766</v>
      </c>
      <c r="P558" s="24">
        <f t="shared" si="17"/>
        <v>0.90512540894235016</v>
      </c>
    </row>
    <row r="559" spans="12:16" x14ac:dyDescent="0.3">
      <c r="L559" s="24">
        <f>IF('3. Detention'!$Z$7&gt;0.2*($P559),('3. Detention'!$Z$7-0.2*($P559))^2/('3. Detention'!$Z$7+0.8*($P559)),0)</f>
        <v>2.2751012499421028</v>
      </c>
      <c r="M559" s="24">
        <f>IF('3. Detention'!$AE$7&gt;0.2*($P559),('3. Detention'!$AE$7-0.2*($P559))^2/('3. Detention'!$AE$7+0.8*($P559)),0)</f>
        <v>4.2923254076209885</v>
      </c>
      <c r="N559" s="24">
        <f>IF('3. Detention'!$AJ$7&gt;0.2*($P559),('3. Detention'!$AJ$7-0.2*($P559))^2/('3. Detention'!$AJ$7+0.8*($P559)),0)</f>
        <v>7.3562243176162383</v>
      </c>
      <c r="O559" s="61">
        <f t="shared" si="16"/>
        <v>91.799999999998761</v>
      </c>
      <c r="P559" s="24">
        <f t="shared" si="17"/>
        <v>0.89324618736398165</v>
      </c>
    </row>
    <row r="560" spans="12:16" x14ac:dyDescent="0.3">
      <c r="L560" s="24">
        <f>IF('3. Detention'!$Z$7&gt;0.2*($P560),('3. Detention'!$Z$7-0.2*($P560))^2/('3. Detention'!$Z$7+0.8*($P560)),0)</f>
        <v>2.2843650852973663</v>
      </c>
      <c r="M560" s="24">
        <f>IF('3. Detention'!$AE$7&gt;0.2*($P560),('3. Detention'!$AE$7-0.2*($P560))^2/('3. Detention'!$AE$7+0.8*($P560)),0)</f>
        <v>4.3032196619062439</v>
      </c>
      <c r="N560" s="24">
        <f>IF('3. Detention'!$AJ$7&gt;0.2*($P560),('3. Detention'!$AJ$7-0.2*($P560))^2/('3. Detention'!$AJ$7+0.8*($P560)),0)</f>
        <v>7.368215128531272</v>
      </c>
      <c r="O560" s="61">
        <f t="shared" si="16"/>
        <v>91.899999999998755</v>
      </c>
      <c r="P560" s="24">
        <f t="shared" si="17"/>
        <v>0.88139281828088656</v>
      </c>
    </row>
    <row r="561" spans="12:16" x14ac:dyDescent="0.3">
      <c r="L561" s="24">
        <f>IF('3. Detention'!$Z$7&gt;0.2*($P561),('3. Detention'!$Z$7-0.2*($P561))^2/('3. Detention'!$Z$7+0.8*($P561)),0)</f>
        <v>2.2936573585797189</v>
      </c>
      <c r="M561" s="24">
        <f>IF('3. Detention'!$AE$7&gt;0.2*($P561),('3. Detention'!$AE$7-0.2*($P561))^2/('3. Detention'!$AE$7+0.8*($P561)),0)</f>
        <v>4.3141268777892323</v>
      </c>
      <c r="N561" s="24">
        <f>IF('3. Detention'!$AJ$7&gt;0.2*($P561),('3. Detention'!$AJ$7-0.2*($P561))^2/('3. Detention'!$AJ$7+0.8*($P561)),0)</f>
        <v>7.3802061985077563</v>
      </c>
      <c r="O561" s="61">
        <f t="shared" si="16"/>
        <v>91.999999999998749</v>
      </c>
      <c r="P561" s="24">
        <f t="shared" si="17"/>
        <v>0.86956521739145209</v>
      </c>
    </row>
    <row r="562" spans="12:16" x14ac:dyDescent="0.3">
      <c r="L562" s="24">
        <f>IF('3. Detention'!$Z$7&gt;0.2*($P562),('3. Detention'!$Z$7-0.2*($P562))^2/('3. Detention'!$Z$7+0.8*($P562)),0)</f>
        <v>2.3029781779211915</v>
      </c>
      <c r="M562" s="24">
        <f>IF('3. Detention'!$AE$7&gt;0.2*($P562),('3. Detention'!$AE$7-0.2*($P562))^2/('3. Detention'!$AE$7+0.8*($P562)),0)</f>
        <v>4.3250470688759366</v>
      </c>
      <c r="N562" s="24">
        <f>IF('3. Detention'!$AJ$7&gt;0.2*($P562),('3. Detention'!$AJ$7-0.2*($P562))^2/('3. Detention'!$AJ$7+0.8*($P562)),0)</f>
        <v>7.3921975234752173</v>
      </c>
      <c r="O562" s="61">
        <f t="shared" si="16"/>
        <v>92.099999999998744</v>
      </c>
      <c r="P562" s="24">
        <f t="shared" si="17"/>
        <v>0.85776330076019214</v>
      </c>
    </row>
    <row r="563" spans="12:16" x14ac:dyDescent="0.3">
      <c r="L563" s="24">
        <f>IF('3. Detention'!$Z$7&gt;0.2*($P563),('3. Detention'!$Z$7-0.2*($P563))^2/('3. Detention'!$Z$7+0.8*($P563)),0)</f>
        <v>2.3123276520925442</v>
      </c>
      <c r="M563" s="24">
        <f>IF('3. Detention'!$AE$7&gt;0.2*($P563),('3. Detention'!$AE$7-0.2*($P563))^2/('3. Detention'!$AE$7+0.8*($P563)),0)</f>
        <v>4.3359802488267656</v>
      </c>
      <c r="N563" s="24">
        <f>IF('3. Detention'!$AJ$7&gt;0.2*($P563),('3. Detention'!$AJ$7-0.2*($P563))^2/('3. Detention'!$AJ$7+0.8*($P563)),0)</f>
        <v>7.404189099381365</v>
      </c>
      <c r="O563" s="61">
        <f t="shared" si="16"/>
        <v>92.199999999998738</v>
      </c>
      <c r="P563" s="24">
        <f t="shared" si="17"/>
        <v>0.84598698481576662</v>
      </c>
    </row>
    <row r="564" spans="12:16" x14ac:dyDescent="0.3">
      <c r="L564" s="24">
        <f>IF('3. Detention'!$Z$7&gt;0.2*($P564),('3. Detention'!$Z$7-0.2*($P564))^2/('3. Detention'!$Z$7+0.8*($P564)),0)</f>
        <v>2.3217058905074603</v>
      </c>
      <c r="M564" s="24">
        <f>IF('3. Detention'!$AE$7&gt;0.2*($P564),('3. Detention'!$AE$7-0.2*($P564))^2/('3. Detention'!$AE$7+0.8*($P564)),0)</f>
        <v>4.3469264313565485</v>
      </c>
      <c r="N564" s="24">
        <f>IF('3. Detention'!$AJ$7&gt;0.2*($P564),('3. Detention'!$AJ$7-0.2*($P564))^2/('3. Detention'!$AJ$7+0.8*($P564)),0)</f>
        <v>7.4161809221919981</v>
      </c>
      <c r="O564" s="61">
        <f t="shared" si="16"/>
        <v>92.299999999998732</v>
      </c>
      <c r="P564" s="24">
        <f t="shared" si="17"/>
        <v>0.83423618634901153</v>
      </c>
    </row>
    <row r="565" spans="12:16" x14ac:dyDescent="0.3">
      <c r="L565" s="24">
        <f>IF('3. Detention'!$Z$7&gt;0.2*($P565),('3. Detention'!$Z$7-0.2*($P565))^2/('3. Detention'!$Z$7+0.8*($P565)),0)</f>
        <v>2.331113003226772</v>
      </c>
      <c r="M565" s="24">
        <f>IF('3. Detention'!$AE$7&gt;0.2*($P565),('3. Detention'!$AE$7-0.2*($P565))^2/('3. Detention'!$AE$7+0.8*($P565)),0)</f>
        <v>4.3578856302345299</v>
      </c>
      <c r="N565" s="24">
        <f>IF('3. Detention'!$AJ$7&gt;0.2*($P565),('3. Detention'!$AJ$7-0.2*($P565))^2/('3. Detention'!$AJ$7+0.8*($P565)),0)</f>
        <v>7.428172987890906</v>
      </c>
      <c r="O565" s="61">
        <f t="shared" si="16"/>
        <v>92.399999999998727</v>
      </c>
      <c r="P565" s="24">
        <f t="shared" si="17"/>
        <v>0.82251082251097252</v>
      </c>
    </row>
    <row r="566" spans="12:16" x14ac:dyDescent="0.3">
      <c r="L566" s="24">
        <f>IF('3. Detention'!$Z$7&gt;0.2*($P566),('3. Detention'!$Z$7-0.2*($P566))^2/('3. Detention'!$Z$7+0.8*($P566)),0)</f>
        <v>2.3405491009627344</v>
      </c>
      <c r="M566" s="24">
        <f>IF('3. Detention'!$AE$7&gt;0.2*($P566),('3. Detention'!$AE$7-0.2*($P566))^2/('3. Detention'!$AE$7+0.8*($P566)),0)</f>
        <v>4.3688578592843674</v>
      </c>
      <c r="N566" s="24">
        <f>IF('3. Detention'!$AJ$7&gt;0.2*($P566),('3. Detention'!$AJ$7-0.2*($P566))^2/('3. Detention'!$AJ$7+0.8*($P566)),0)</f>
        <v>7.4401652924797714</v>
      </c>
      <c r="O566" s="61">
        <f t="shared" si="16"/>
        <v>92.499999999998721</v>
      </c>
      <c r="P566" s="24">
        <f t="shared" si="17"/>
        <v>0.81081081081095974</v>
      </c>
    </row>
    <row r="567" spans="12:16" x14ac:dyDescent="0.3">
      <c r="L567" s="24">
        <f>IF('3. Detention'!$Z$7&gt;0.2*($P567),('3. Detention'!$Z$7-0.2*($P567))^2/('3. Detention'!$Z$7+0.8*($P567)),0)</f>
        <v>2.3500142950833118</v>
      </c>
      <c r="M567" s="24">
        <f>IF('3. Detention'!$AE$7&gt;0.2*($P567),('3. Detention'!$AE$7-0.2*($P567))^2/('3. Detention'!$AE$7+0.8*($P567)),0)</f>
        <v>4.3798431323841163</v>
      </c>
      <c r="N567" s="24">
        <f>IF('3. Detention'!$AJ$7&gt;0.2*($P567),('3. Detention'!$AJ$7-0.2*($P567))^2/('3. Detention'!$AJ$7+0.8*($P567)),0)</f>
        <v>7.4521578319780675</v>
      </c>
      <c r="O567" s="61">
        <f t="shared" si="16"/>
        <v>92.599999999998715</v>
      </c>
      <c r="P567" s="24">
        <f t="shared" si="17"/>
        <v>0.79913606911462054</v>
      </c>
    </row>
    <row r="568" spans="12:16" x14ac:dyDescent="0.3">
      <c r="L568" s="24">
        <f>IF('3. Detention'!$Z$7&gt;0.2*($P568),('3. Detention'!$Z$7-0.2*($P568))^2/('3. Detention'!$Z$7+0.8*($P568)),0)</f>
        <v>2.3595086976165356</v>
      </c>
      <c r="M568" s="24">
        <f>IF('3. Detention'!$AE$7&gt;0.2*($P568),('3. Detention'!$AE$7-0.2*($P568))^2/('3. Detention'!$AE$7+0.8*($P568)),0)</f>
        <v>4.3908414634662458</v>
      </c>
      <c r="N568" s="24">
        <f>IF('3. Detention'!$AJ$7&gt;0.2*($P568),('3. Detention'!$AJ$7-0.2*($P568))^2/('3. Detention'!$AJ$7+0.8*($P568)),0)</f>
        <v>7.4641506024229729</v>
      </c>
      <c r="O568" s="61">
        <f t="shared" si="16"/>
        <v>92.69999999999871</v>
      </c>
      <c r="P568" s="24">
        <f t="shared" si="17"/>
        <v>0.787486515642005</v>
      </c>
    </row>
    <row r="569" spans="12:16" x14ac:dyDescent="0.3">
      <c r="L569" s="24">
        <f>IF('3. Detention'!$Z$7&gt;0.2*($P569),('3. Detention'!$Z$7-0.2*($P569))^2/('3. Detention'!$Z$7+0.8*($P569)),0)</f>
        <v>2.369032421254865</v>
      </c>
      <c r="M569" s="24">
        <f>IF('3. Detention'!$AE$7&gt;0.2*($P569),('3. Detention'!$AE$7-0.2*($P569))^2/('3. Detention'!$AE$7+0.8*($P569)),0)</f>
        <v>4.401852866517622</v>
      </c>
      <c r="N569" s="24">
        <f>IF('3. Detention'!$AJ$7&gt;0.2*($P569),('3. Detention'!$AJ$7-0.2*($P569))^2/('3. Detention'!$AJ$7+0.8*($P569)),0)</f>
        <v>7.476143599869272</v>
      </c>
      <c r="O569" s="61">
        <f t="shared" si="16"/>
        <v>92.799999999998704</v>
      </c>
      <c r="P569" s="24">
        <f t="shared" si="17"/>
        <v>0.77586206896566701</v>
      </c>
    </row>
    <row r="570" spans="12:16" x14ac:dyDescent="0.3">
      <c r="L570" s="24">
        <f>IF('3. Detention'!$Z$7&gt;0.2*($P570),('3. Detention'!$Z$7-0.2*($P570))^2/('3. Detention'!$Z$7+0.8*($P570)),0)</f>
        <v>2.3785855793596125</v>
      </c>
      <c r="M570" s="24">
        <f>IF('3. Detention'!$AE$7&gt;0.2*($P570),('3. Detention'!$AE$7-0.2*($P570))^2/('3. Detention'!$AE$7+0.8*($P570)),0)</f>
        <v>4.4128773555795124</v>
      </c>
      <c r="N570" s="24">
        <f>IF('3. Detention'!$AJ$7&gt;0.2*($P570),('3. Detention'!$AJ$7-0.2*($P570))^2/('3. Detention'!$AJ$7+0.8*($P570)),0)</f>
        <v>7.4881368203892507</v>
      </c>
      <c r="O570" s="61">
        <f t="shared" si="16"/>
        <v>92.899999999998698</v>
      </c>
      <c r="P570" s="24">
        <f t="shared" si="17"/>
        <v>0.76426264800876176</v>
      </c>
    </row>
    <row r="571" spans="12:16" x14ac:dyDescent="0.3">
      <c r="L571" s="24">
        <f>IF('3. Detention'!$Z$7&gt;0.2*($P571),('3. Detention'!$Z$7-0.2*($P571))^2/('3. Detention'!$Z$7+0.8*($P571)),0)</f>
        <v>2.3881682859653957</v>
      </c>
      <c r="M571" s="24">
        <f>IF('3. Detention'!$AE$7&gt;0.2*($P571),('3. Detention'!$AE$7-0.2*($P571))^2/('3. Detention'!$AE$7+0.8*($P571)),0)</f>
        <v>4.4239149447475858</v>
      </c>
      <c r="N571" s="24">
        <f>IF('3. Detention'!$AJ$7&gt;0.2*($P571),('3. Detention'!$AJ$7-0.2*($P571))^2/('3. Detention'!$AJ$7+0.8*($P571)),0)</f>
        <v>7.5001302600726181</v>
      </c>
      <c r="O571" s="61">
        <f t="shared" si="16"/>
        <v>92.999999999998693</v>
      </c>
      <c r="P571" s="24">
        <f t="shared" si="17"/>
        <v>0.75268817204316107</v>
      </c>
    </row>
    <row r="572" spans="12:16" x14ac:dyDescent="0.3">
      <c r="L572" s="24">
        <f>IF('3. Detention'!$Z$7&gt;0.2*($P572),('3. Detention'!$Z$7-0.2*($P572))^2/('3. Detention'!$Z$7+0.8*($P572)),0)</f>
        <v>2.397780655784624</v>
      </c>
      <c r="M572" s="24">
        <f>IF('3. Detention'!$AE$7&gt;0.2*($P572),('3. Detention'!$AE$7-0.2*($P572))^2/('3. Detention'!$AE$7+0.8*($P572)),0)</f>
        <v>4.43496564817191</v>
      </c>
      <c r="N572" s="24">
        <f>IF('3. Detention'!$AJ$7&gt;0.2*($P572),('3. Detention'!$AJ$7-0.2*($P572))^2/('3. Detention'!$AJ$7+0.8*($P572)),0)</f>
        <v>7.5121239150264003</v>
      </c>
      <c r="O572" s="61">
        <f t="shared" si="16"/>
        <v>93.099999999998687</v>
      </c>
      <c r="P572" s="24">
        <f t="shared" si="17"/>
        <v>0.74113856068758466</v>
      </c>
    </row>
    <row r="573" spans="12:16" x14ac:dyDescent="0.3">
      <c r="L573" s="24">
        <f>IF('3. Detention'!$Z$7&gt;0.2*($P573),('3. Detention'!$Z$7-0.2*($P573))^2/('3. Detention'!$Z$7+0.8*($P573)),0)</f>
        <v>2.4074228042120369</v>
      </c>
      <c r="M573" s="24">
        <f>IF('3. Detention'!$AE$7&gt;0.2*($P573),('3. Detention'!$AE$7-0.2*($P573))^2/('3. Detention'!$AE$7+0.8*($P573)),0)</f>
        <v>4.4460294800569624</v>
      </c>
      <c r="N573" s="24">
        <f>IF('3. Detention'!$AJ$7&gt;0.2*($P573),('3. Detention'!$AJ$7-0.2*($P573))^2/('3. Detention'!$AJ$7+0.8*($P573)),0)</f>
        <v>7.5241177813748559</v>
      </c>
      <c r="O573" s="61">
        <f t="shared" si="16"/>
        <v>93.199999999998681</v>
      </c>
      <c r="P573" s="24">
        <f t="shared" si="17"/>
        <v>0.72961373390573137</v>
      </c>
    </row>
    <row r="574" spans="12:16" x14ac:dyDescent="0.3">
      <c r="L574" s="24">
        <f>IF('3. Detention'!$Z$7&gt;0.2*($P574),('3. Detention'!$Z$7-0.2*($P574))^2/('3. Detention'!$Z$7+0.8*($P574)),0)</f>
        <v>2.4170948473292722</v>
      </c>
      <c r="M574" s="24">
        <f>IF('3. Detention'!$AE$7&gt;0.2*($P574),('3. Detention'!$AE$7-0.2*($P574))^2/('3. Detention'!$AE$7+0.8*($P574)),0)</f>
        <v>4.4571064546616199</v>
      </c>
      <c r="N574" s="24">
        <f>IF('3. Detention'!$AJ$7&gt;0.2*($P574),('3. Detention'!$AJ$7-0.2*($P574))^2/('3. Detention'!$AJ$7+0.8*($P574)),0)</f>
        <v>7.5361118552593762</v>
      </c>
      <c r="O574" s="61">
        <f t="shared" si="16"/>
        <v>93.299999999998676</v>
      </c>
      <c r="P574" s="24">
        <f t="shared" si="17"/>
        <v>0.71811361200443891</v>
      </c>
    </row>
    <row r="575" spans="12:16" x14ac:dyDescent="0.3">
      <c r="L575" s="24">
        <f>IF('3. Detention'!$Z$7&gt;0.2*($P575),('3. Detention'!$Z$7-0.2*($P575))^2/('3. Detention'!$Z$7+0.8*($P575)),0)</f>
        <v>2.4267969019094742</v>
      </c>
      <c r="M575" s="24">
        <f>IF('3. Detention'!$AE$7&gt;0.2*($P575),('3. Detention'!$AE$7-0.2*($P575))^2/('3. Detention'!$AE$7+0.8*($P575)),0)</f>
        <v>4.4681965862991717</v>
      </c>
      <c r="N575" s="24">
        <f>IF('3. Detention'!$AJ$7&gt;0.2*($P575),('3. Detention'!$AJ$7-0.2*($P575))^2/('3. Detention'!$AJ$7+0.8*($P575)),0)</f>
        <v>7.5481061328383987</v>
      </c>
      <c r="O575" s="61">
        <f t="shared" si="16"/>
        <v>93.39999999999867</v>
      </c>
      <c r="P575" s="24">
        <f t="shared" si="17"/>
        <v>0.70663811563184353</v>
      </c>
    </row>
    <row r="576" spans="12:16" x14ac:dyDescent="0.3">
      <c r="L576" s="24">
        <f>IF('3. Detention'!$Z$7&gt;0.2*($P576),('3. Detention'!$Z$7-0.2*($P576))^2/('3. Detention'!$Z$7+0.8*($P576)),0)</f>
        <v>2.4365290854219479</v>
      </c>
      <c r="M576" s="24">
        <f>IF('3. Detention'!$AE$7&gt;0.2*($P576),('3. Detention'!$AE$7-0.2*($P576))^2/('3. Detention'!$AE$7+0.8*($P576)),0)</f>
        <v>4.4792998893373177</v>
      </c>
      <c r="N576" s="24">
        <f>IF('3. Detention'!$AJ$7&gt;0.2*($P576),('3. Detention'!$AJ$7-0.2*($P576))^2/('3. Detention'!$AJ$7+0.8*($P576)),0)</f>
        <v>7.5601006102873125</v>
      </c>
      <c r="O576" s="61">
        <f t="shared" si="16"/>
        <v>93.499999999998664</v>
      </c>
      <c r="P576" s="24">
        <f t="shared" si="17"/>
        <v>0.69518716577555395</v>
      </c>
    </row>
    <row r="577" spans="12:16" x14ac:dyDescent="0.3">
      <c r="L577" s="24">
        <f>IF('3. Detention'!$Z$7&gt;0.2*($P577),('3. Detention'!$Z$7-0.2*($P577))^2/('3. Detention'!$Z$7+0.8*($P577)),0)</f>
        <v>2.4462915160368524</v>
      </c>
      <c r="M577" s="24">
        <f>IF('3. Detention'!$AE$7&gt;0.2*($P577),('3. Detention'!$AE$7-0.2*($P577))^2/('3. Detention'!$AE$7+0.8*($P577)),0)</f>
        <v>4.4904163781981818</v>
      </c>
      <c r="N577" s="24">
        <f>IF('3. Detention'!$AJ$7&gt;0.2*($P577),('3. Detention'!$AJ$7-0.2*($P577))^2/('3. Detention'!$AJ$7+0.8*($P577)),0)</f>
        <v>7.5720952837983662</v>
      </c>
      <c r="O577" s="61">
        <f t="shared" si="16"/>
        <v>93.599999999998658</v>
      </c>
      <c r="P577" s="24">
        <f t="shared" si="17"/>
        <v>0.68376068376083765</v>
      </c>
    </row>
    <row r="578" spans="12:16" x14ac:dyDescent="0.3">
      <c r="L578" s="24">
        <f>IF('3. Detention'!$Z$7&gt;0.2*($P578),('3. Detention'!$Z$7-0.2*($P578))^2/('3. Detention'!$Z$7+0.8*($P578)),0)</f>
        <v>2.4560843126299292</v>
      </c>
      <c r="M578" s="24">
        <f>IF('3. Detention'!$AE$7&gt;0.2*($P578),('3. Detention'!$AE$7-0.2*($P578))^2/('3. Detention'!$AE$7+0.8*($P578)),0)</f>
        <v>4.5015460673583094</v>
      </c>
      <c r="N578" s="24">
        <f>IF('3. Detention'!$AJ$7&gt;0.2*($P578),('3. Detention'!$AJ$7-0.2*($P578))^2/('3. Detention'!$AJ$7+0.8*($P578)),0)</f>
        <v>7.5840901495805921</v>
      </c>
      <c r="O578" s="61">
        <f t="shared" si="16"/>
        <v>93.699999999998653</v>
      </c>
      <c r="P578" s="24">
        <f t="shared" si="17"/>
        <v>0.67235859124881969</v>
      </c>
    </row>
    <row r="579" spans="12:16" x14ac:dyDescent="0.3">
      <c r="L579" s="24">
        <f>IF('3. Detention'!$Z$7&gt;0.2*($P579),('3. Detention'!$Z$7-0.2*($P579))^2/('3. Detention'!$Z$7+0.8*($P579)),0)</f>
        <v>2.4659075947872791</v>
      </c>
      <c r="M579" s="24">
        <f>IF('3. Detention'!$AE$7&gt;0.2*($P579),('3. Detention'!$AE$7-0.2*($P579))^2/('3. Detention'!$AE$7+0.8*($P579)),0)</f>
        <v>4.5126889713486769</v>
      </c>
      <c r="N579" s="24">
        <f>IF('3. Detention'!$AJ$7&gt;0.2*($P579),('3. Detention'!$AJ$7-0.2*($P579))^2/('3. Detention'!$AJ$7+0.8*($P579)),0)</f>
        <v>7.5960852038596904</v>
      </c>
      <c r="O579" s="61">
        <f t="shared" si="16"/>
        <v>93.799999999998647</v>
      </c>
      <c r="P579" s="24">
        <f t="shared" si="17"/>
        <v>0.66098081023469568</v>
      </c>
    </row>
    <row r="580" spans="12:16" x14ac:dyDescent="0.3">
      <c r="L580" s="24">
        <f>IF('3. Detention'!$Z$7&gt;0.2*($P580),('3. Detention'!$Z$7-0.2*($P580))^2/('3. Detention'!$Z$7+0.8*($P580)),0)</f>
        <v>2.4757614828101748</v>
      </c>
      <c r="M580" s="24">
        <f>IF('3. Detention'!$AE$7&gt;0.2*($P580),('3. Detention'!$AE$7-0.2*($P580))^2/('3. Detention'!$AE$7+0.8*($P580)),0)</f>
        <v>4.5238451047547033</v>
      </c>
      <c r="N580" s="24">
        <f>IF('3. Detention'!$AJ$7&gt;0.2*($P580),('3. Detention'!$AJ$7-0.2*($P580))^2/('3. Detention'!$AJ$7+0.8*($P580)),0)</f>
        <v>7.6080804428779674</v>
      </c>
      <c r="O580" s="61">
        <f t="shared" si="16"/>
        <v>93.899999999998641</v>
      </c>
      <c r="P580" s="24">
        <f t="shared" si="17"/>
        <v>0.64962726304594831</v>
      </c>
    </row>
    <row r="581" spans="12:16" x14ac:dyDescent="0.3">
      <c r="L581" s="24">
        <f>IF('3. Detention'!$Z$7&gt;0.2*($P581),('3. Detention'!$Z$7-0.2*($P581))^2/('3. Detention'!$Z$7+0.8*($P581)),0)</f>
        <v>2.4856460977199282</v>
      </c>
      <c r="M581" s="24">
        <f>IF('3. Detention'!$AE$7&gt;0.2*($P581),('3. Detention'!$AE$7-0.2*($P581))^2/('3. Detention'!$AE$7+0.8*($P581)),0)</f>
        <v>4.5350144822162539</v>
      </c>
      <c r="N581" s="24">
        <f>IF('3. Detention'!$AJ$7&gt;0.2*($P581),('3. Detention'!$AJ$7-0.2*($P581))^2/('3. Detention'!$AJ$7+0.8*($P581)),0)</f>
        <v>7.6200758628942271</v>
      </c>
      <c r="O581" s="61">
        <f t="shared" si="16"/>
        <v>93.999999999998636</v>
      </c>
      <c r="P581" s="24">
        <f t="shared" si="17"/>
        <v>0.63829787234057989</v>
      </c>
    </row>
    <row r="582" spans="12:16" x14ac:dyDescent="0.3">
      <c r="L582" s="24">
        <f>IF('3. Detention'!$Z$7&gt;0.2*($P582),('3. Detention'!$Z$7-0.2*($P582))^2/('3. Detention'!$Z$7+0.8*($P582)),0)</f>
        <v>2.4955615612627788</v>
      </c>
      <c r="M582" s="24">
        <f>IF('3. Detention'!$AE$7&gt;0.2*($P582),('3. Detention'!$AE$7-0.2*($P582))^2/('3. Detention'!$AE$7+0.8*($P582)),0)</f>
        <v>4.5461971184276528</v>
      </c>
      <c r="N582" s="24">
        <f>IF('3. Detention'!$AJ$7&gt;0.2*($P582),('3. Detention'!$AJ$7-0.2*($P582))^2/('3. Detention'!$AJ$7+0.8*($P582)),0)</f>
        <v>7.632071460183691</v>
      </c>
      <c r="O582" s="61">
        <f t="shared" si="16"/>
        <v>94.09999999999863</v>
      </c>
      <c r="P582" s="24">
        <f t="shared" si="17"/>
        <v>0.62699256110536261</v>
      </c>
    </row>
    <row r="583" spans="12:16" x14ac:dyDescent="0.3">
      <c r="L583" s="24">
        <f>IF('3. Detention'!$Z$7&gt;0.2*($P583),('3. Detention'!$Z$7-0.2*($P583))^2/('3. Detention'!$Z$7+0.8*($P583)),0)</f>
        <v>2.5055079959148485</v>
      </c>
      <c r="M583" s="24">
        <f>IF('3. Detention'!$AE$7&gt;0.2*($P583),('3. Detention'!$AE$7-0.2*($P583))^2/('3. Detention'!$AE$7+0.8*($P583)),0)</f>
        <v>4.5573930281376933</v>
      </c>
      <c r="N583" s="24">
        <f>IF('3. Detention'!$AJ$7&gt;0.2*($P583),('3. Detention'!$AJ$7-0.2*($P583))^2/('3. Detention'!$AJ$7+0.8*($P583)),0)</f>
        <v>7.6440672310379192</v>
      </c>
      <c r="O583" s="61">
        <f t="shared" si="16"/>
        <v>94.199999999998624</v>
      </c>
      <c r="P583" s="24">
        <f t="shared" si="17"/>
        <v>0.61571125265408355</v>
      </c>
    </row>
    <row r="584" spans="12:16" x14ac:dyDescent="0.3">
      <c r="L584" s="24">
        <f>IF('3. Detention'!$Z$7&gt;0.2*($P584),('3. Detention'!$Z$7-0.2*($P584))^2/('3. Detention'!$Z$7+0.8*($P584)),0)</f>
        <v>2.5154855248871222</v>
      </c>
      <c r="M584" s="24">
        <f>IF('3. Detention'!$AE$7&gt;0.2*($P584),('3. Detention'!$AE$7-0.2*($P584))^2/('3. Detention'!$AE$7+0.8*($P584)),0)</f>
        <v>4.5686022261496495</v>
      </c>
      <c r="N584" s="24">
        <f>IF('3. Detention'!$AJ$7&gt;0.2*($P584),('3. Detention'!$AJ$7-0.2*($P584))^2/('3. Detention'!$AJ$7+0.8*($P584)),0)</f>
        <v>7.6560631717647114</v>
      </c>
      <c r="O584" s="61">
        <f t="shared" si="16"/>
        <v>94.299999999998619</v>
      </c>
      <c r="P584" s="24">
        <f t="shared" si="17"/>
        <v>0.60445387062581801</v>
      </c>
    </row>
    <row r="585" spans="12:16" x14ac:dyDescent="0.3">
      <c r="L585" s="24">
        <f>IF('3. Detention'!$Z$7&gt;0.2*($P585),('3. Detention'!$Z$7-0.2*($P585))^2/('3. Detention'!$Z$7+0.8*($P585)),0)</f>
        <v>2.5254942721304823</v>
      </c>
      <c r="M585" s="24">
        <f>IF('3. Detention'!$AE$7&gt;0.2*($P585),('3. Detention'!$AE$7-0.2*($P585))^2/('3. Detention'!$AE$7+0.8*($P585)),0)</f>
        <v>4.5798247273212827</v>
      </c>
      <c r="N585" s="24">
        <f>IF('3. Detention'!$AJ$7&gt;0.2*($P585),('3. Detention'!$AJ$7-0.2*($P585))^2/('3. Detention'!$AJ$7+0.8*($P585)),0)</f>
        <v>7.6680592786880162</v>
      </c>
      <c r="O585" s="61">
        <f t="shared" si="16"/>
        <v>94.399999999998613</v>
      </c>
      <c r="P585" s="24">
        <f t="shared" si="17"/>
        <v>0.59322033898320647</v>
      </c>
    </row>
    <row r="586" spans="12:16" x14ac:dyDescent="0.3">
      <c r="L586" s="24">
        <f>IF('3. Detention'!$Z$7&gt;0.2*($P586),('3. Detention'!$Z$7-0.2*($P586))^2/('3. Detention'!$Z$7+0.8*($P586)),0)</f>
        <v>2.5355343623407838</v>
      </c>
      <c r="M586" s="24">
        <f>IF('3. Detention'!$AE$7&gt;0.2*($P586),('3. Detention'!$AE$7-0.2*($P586))^2/('3. Detention'!$AE$7+0.8*($P586)),0)</f>
        <v>4.5910605465648633</v>
      </c>
      <c r="N586" s="24">
        <f>IF('3. Detention'!$AJ$7&gt;0.2*($P586),('3. Detention'!$AJ$7-0.2*($P586))^2/('3. Detention'!$AJ$7+0.8*($P586)),0)</f>
        <v>7.6800555481478652</v>
      </c>
      <c r="O586" s="61">
        <f t="shared" si="16"/>
        <v>94.499999999998607</v>
      </c>
      <c r="P586" s="24">
        <f t="shared" si="17"/>
        <v>0.58201058201073863</v>
      </c>
    </row>
    <row r="587" spans="12:16" x14ac:dyDescent="0.3">
      <c r="L587" s="24">
        <f>IF('3. Detention'!$Z$7&gt;0.2*($P587),('3. Detention'!$Z$7-0.2*($P587))^2/('3. Detention'!$Z$7+0.8*($P587)),0)</f>
        <v>2.5456059209639781</v>
      </c>
      <c r="M587" s="24">
        <f>IF('3. Detention'!$AE$7&gt;0.2*($P587),('3. Detention'!$AE$7-0.2*($P587))^2/('3. Detention'!$AE$7+0.8*($P587)),0)</f>
        <v>4.6023096988471801</v>
      </c>
      <c r="N587" s="24">
        <f>IF('3. Detention'!$AJ$7&gt;0.2*($P587),('3. Detention'!$AJ$7-0.2*($P587))^2/('3. Detention'!$AJ$7+0.8*($P587)),0)</f>
        <v>7.6920519765002764</v>
      </c>
      <c r="O587" s="61">
        <f t="shared" si="16"/>
        <v>94.599999999998602</v>
      </c>
      <c r="P587" s="24">
        <f t="shared" si="17"/>
        <v>0.57082452431305342</v>
      </c>
    </row>
    <row r="588" spans="12:16" x14ac:dyDescent="0.3">
      <c r="L588" s="24">
        <f>IF('3. Detention'!$Z$7&gt;0.2*($P588),('3. Detention'!$Z$7-0.2*($P588))^2/('3. Detention'!$Z$7+0.8*($P588)),0)</f>
        <v>2.555709074201272</v>
      </c>
      <c r="M588" s="24">
        <f>IF('3. Detention'!$AE$7&gt;0.2*($P588),('3. Detention'!$AE$7-0.2*($P588))^2/('3. Detention'!$AE$7+0.8*($P588)),0)</f>
        <v>4.613572199189556</v>
      </c>
      <c r="N588" s="24">
        <f>IF('3. Detention'!$AJ$7&gt;0.2*($P588),('3. Detention'!$AJ$7-0.2*($P588))^2/('3. Detention'!$AJ$7+0.8*($P588)),0)</f>
        <v>7.7040485601171644</v>
      </c>
      <c r="O588" s="61">
        <f t="shared" si="16"/>
        <v>94.699999999998596</v>
      </c>
      <c r="P588" s="24">
        <f t="shared" si="17"/>
        <v>0.55966209081324969</v>
      </c>
    </row>
    <row r="589" spans="12:16" x14ac:dyDescent="0.3">
      <c r="L589" s="24">
        <f>IF('3. Detention'!$Z$7&gt;0.2*($P589),('3. Detention'!$Z$7-0.2*($P589))^2/('3. Detention'!$Z$7+0.8*($P589)),0)</f>
        <v>2.5658439490143419</v>
      </c>
      <c r="M589" s="24">
        <f>IF('3. Detention'!$AE$7&gt;0.2*($P589),('3. Detention'!$AE$7-0.2*($P589))^2/('3. Detention'!$AE$7+0.8*($P589)),0)</f>
        <v>4.6248480626678576</v>
      </c>
      <c r="N589" s="24">
        <f>IF('3. Detention'!$AJ$7&gt;0.2*($P589),('3. Detention'!$AJ$7-0.2*($P589))^2/('3. Detention'!$AJ$7+0.8*($P589)),0)</f>
        <v>7.7160452953862642</v>
      </c>
      <c r="O589" s="61">
        <f t="shared" si="16"/>
        <v>94.79999999999859</v>
      </c>
      <c r="P589" s="24">
        <f t="shared" si="17"/>
        <v>0.54852320675121113</v>
      </c>
    </row>
    <row r="590" spans="12:16" x14ac:dyDescent="0.3">
      <c r="L590" s="24">
        <f>IF('3. Detention'!$Z$7&gt;0.2*($P590),('3. Detention'!$Z$7-0.2*($P590))^2/('3. Detention'!$Z$7+0.8*($P590)),0)</f>
        <v>2.5760106731305954</v>
      </c>
      <c r="M590" s="24">
        <f>IF('3. Detention'!$AE$7&gt;0.2*($P590),('3. Detention'!$AE$7-0.2*($P590))^2/('3. Detention'!$AE$7+0.8*($P590)),0)</f>
        <v>4.6361373044125225</v>
      </c>
      <c r="N590" s="24">
        <f>IF('3. Detention'!$AJ$7&gt;0.2*($P590),('3. Detention'!$AJ$7-0.2*($P590))^2/('3. Detention'!$AJ$7+0.8*($P590)),0)</f>
        <v>7.7280421787110489</v>
      </c>
      <c r="O590" s="61">
        <f t="shared" si="16"/>
        <v>94.899999999998585</v>
      </c>
      <c r="P590" s="24">
        <f t="shared" si="17"/>
        <v>0.53740779768192759</v>
      </c>
    </row>
    <row r="591" spans="12:16" x14ac:dyDescent="0.3">
      <c r="L591" s="24">
        <f>IF('3. Detention'!$Z$7&gt;0.2*($P591),('3. Detention'!$Z$7-0.2*($P591))^2/('3. Detention'!$Z$7+0.8*($P591)),0)</f>
        <v>2.5862093750484729</v>
      </c>
      <c r="M591" s="24">
        <f>IF('3. Detention'!$AE$7&gt;0.2*($P591),('3. Detention'!$AE$7-0.2*($P591))^2/('3. Detention'!$AE$7+0.8*($P591)),0)</f>
        <v>4.6474399396085717</v>
      </c>
      <c r="N591" s="24">
        <f>IF('3. Detention'!$AJ$7&gt;0.2*($P591),('3. Detention'!$AJ$7-0.2*($P591))^2/('3. Detention'!$AJ$7+0.8*($P591)),0)</f>
        <v>7.74003920651064</v>
      </c>
      <c r="O591" s="61">
        <f t="shared" si="16"/>
        <v>94.999999999998579</v>
      </c>
      <c r="P591" s="24">
        <f t="shared" si="17"/>
        <v>0.52631578947384128</v>
      </c>
    </row>
    <row r="592" spans="12:16" x14ac:dyDescent="0.3">
      <c r="L592" s="24">
        <f>IF('3. Detention'!$Z$7&gt;0.2*($P592),('3. Detention'!$Z$7-0.2*($P592))^2/('3. Detention'!$Z$7+0.8*($P592)),0)</f>
        <v>2.5964401840427933</v>
      </c>
      <c r="M592" s="24">
        <f>IF('3. Detention'!$AE$7&gt;0.2*($P592),('3. Detention'!$AE$7-0.2*($P592))^2/('3. Detention'!$AE$7+0.8*($P592)),0)</f>
        <v>4.6587559834956194</v>
      </c>
      <c r="N592" s="24">
        <f>IF('3. Detention'!$AJ$7&gt;0.2*($P592),('3. Detention'!$AJ$7-0.2*($P592))^2/('3. Detention'!$AJ$7+0.8*($P592)),0)</f>
        <v>7.7520363752197303</v>
      </c>
      <c r="O592" s="61">
        <f t="shared" si="16"/>
        <v>95.099999999998573</v>
      </c>
      <c r="P592" s="24">
        <f t="shared" si="17"/>
        <v>0.51524710830720366</v>
      </c>
    </row>
    <row r="593" spans="12:16" x14ac:dyDescent="0.3">
      <c r="L593" s="24">
        <f>IF('3. Detention'!$Z$7&gt;0.2*($P593),('3. Detention'!$Z$7-0.2*($P593))^2/('3. Detention'!$Z$7+0.8*($P593)),0)</f>
        <v>2.6067032301701638</v>
      </c>
      <c r="M593" s="24">
        <f>IF('3. Detention'!$AE$7&gt;0.2*($P593),('3. Detention'!$AE$7-0.2*($P593))^2/('3. Detention'!$AE$7+0.8*($P593)),0)</f>
        <v>4.6700854513679086</v>
      </c>
      <c r="N593" s="24">
        <f>IF('3. Detention'!$AJ$7&gt;0.2*($P593),('3. Detention'!$AJ$7-0.2*($P593))^2/('3. Detention'!$AJ$7+0.8*($P593)),0)</f>
        <v>7.7640336812885016</v>
      </c>
      <c r="O593" s="61">
        <f t="shared" si="16"/>
        <v>95.199999999998568</v>
      </c>
      <c r="P593" s="24">
        <f t="shared" si="17"/>
        <v>0.50420168067242699</v>
      </c>
    </row>
    <row r="594" spans="12:16" x14ac:dyDescent="0.3">
      <c r="L594" s="24">
        <f>IF('3. Detention'!$Z$7&gt;0.2*($P594),('3. Detention'!$Z$7-0.2*($P594))^2/('3. Detention'!$Z$7+0.8*($P594)),0)</f>
        <v>2.6169986442744149</v>
      </c>
      <c r="M594" s="24">
        <f>IF('3. Detention'!$AE$7&gt;0.2*($P594),('3. Detention'!$AE$7-0.2*($P594))^2/('3. Detention'!$AE$7+0.8*($P594)),0)</f>
        <v>4.6814283585743128</v>
      </c>
      <c r="N594" s="24">
        <f>IF('3. Detention'!$AJ$7&gt;0.2*($P594),('3. Detention'!$AJ$7-0.2*($P594))^2/('3. Detention'!$AJ$7+0.8*($P594)),0)</f>
        <v>7.7760311211825401</v>
      </c>
      <c r="O594" s="61">
        <f t="shared" si="16"/>
        <v>95.299999999998562</v>
      </c>
      <c r="P594" s="24">
        <f t="shared" si="17"/>
        <v>0.49317943336846959</v>
      </c>
    </row>
    <row r="595" spans="12:16" x14ac:dyDescent="0.3">
      <c r="L595" s="24">
        <f>IF('3. Detention'!$Z$7&gt;0.2*($P595),('3. Detention'!$Z$7-0.2*($P595))^2/('3. Detention'!$Z$7+0.8*($P595)),0)</f>
        <v>2.6273265579921028</v>
      </c>
      <c r="M595" s="24">
        <f>IF('3. Detention'!$AE$7&gt;0.2*($P595),('3. Detention'!$AE$7-0.2*($P595))^2/('3. Detention'!$AE$7+0.8*($P595)),0)</f>
        <v>4.6927847205183726</v>
      </c>
      <c r="N595" s="24">
        <f>IF('3. Detention'!$AJ$7&gt;0.2*($P595),('3. Detention'!$AJ$7-0.2*($P595))^2/('3. Detention'!$AJ$7+0.8*($P595)),0)</f>
        <v>7.7880286913827579</v>
      </c>
      <c r="O595" s="61">
        <f t="shared" si="16"/>
        <v>95.399999999998556</v>
      </c>
      <c r="P595" s="24">
        <f t="shared" si="17"/>
        <v>0.48218029350120695</v>
      </c>
    </row>
    <row r="596" spans="12:16" x14ac:dyDescent="0.3">
      <c r="L596" s="24">
        <f>IF('3. Detention'!$Z$7&gt;0.2*($P596),('3. Detention'!$Z$7-0.2*($P596))^2/('3. Detention'!$Z$7+0.8*($P596)),0)</f>
        <v>2.6376871037580503</v>
      </c>
      <c r="M596" s="24">
        <f>IF('3. Detention'!$AE$7&gt;0.2*($P596),('3. Detention'!$AE$7-0.2*($P596))^2/('3. Detention'!$AE$7+0.8*($P596)),0)</f>
        <v>4.7041545526583048</v>
      </c>
      <c r="N596" s="24">
        <f>IF('3. Detention'!$AJ$7&gt;0.2*($P596),('3. Detention'!$AJ$7-0.2*($P596))^2/('3. Detention'!$AJ$7+0.8*($P596)),0)</f>
        <v>7.8000263883853131</v>
      </c>
      <c r="O596" s="61">
        <f t="shared" si="16"/>
        <v>95.49999999999855</v>
      </c>
      <c r="P596" s="24">
        <f t="shared" si="17"/>
        <v>0.47120418848183476</v>
      </c>
    </row>
    <row r="597" spans="12:16" x14ac:dyDescent="0.3">
      <c r="L597" s="24">
        <f>IF('3. Detention'!$Z$7&gt;0.2*($P597),('3. Detention'!$Z$7-0.2*($P597))^2/('3. Detention'!$Z$7+0.8*($P597)),0)</f>
        <v>2.6480804148109436</v>
      </c>
      <c r="M597" s="24">
        <f>IF('3. Detention'!$AE$7&gt;0.2*($P597),('3. Detention'!$AE$7-0.2*($P597))^2/('3. Detention'!$AE$7+0.8*($P597)),0)</f>
        <v>4.7155378705070294</v>
      </c>
      <c r="N597" s="24">
        <f>IF('3. Detention'!$AJ$7&gt;0.2*($P597),('3. Detention'!$AJ$7-0.2*($P597))^2/('3. Detention'!$AJ$7+0.8*($P597)),0)</f>
        <v>7.8120242087015317</v>
      </c>
      <c r="O597" s="61">
        <f t="shared" si="16"/>
        <v>95.599999999998545</v>
      </c>
      <c r="P597" s="24">
        <f t="shared" si="17"/>
        <v>0.46025104602526312</v>
      </c>
    </row>
    <row r="598" spans="12:16" x14ac:dyDescent="0.3">
      <c r="L598" s="24">
        <f>IF('3. Detention'!$Z$7&gt;0.2*($P598),('3. Detention'!$Z$7-0.2*($P598))^2/('3. Detention'!$Z$7+0.8*($P598)),0)</f>
        <v>2.6585066251989691</v>
      </c>
      <c r="M598" s="24">
        <f>IF('3. Detention'!$AE$7&gt;0.2*($P598),('3. Detention'!$AE$7-0.2*($P598))^2/('3. Detention'!$AE$7+0.8*($P598)),0)</f>
        <v>4.726934689632194</v>
      </c>
      <c r="N598" s="24">
        <f>IF('3. Detention'!$AJ$7&gt;0.2*($P598),('3. Detention'!$AJ$7-0.2*($P598))^2/('3. Detention'!$AJ$7+0.8*($P598)),0)</f>
        <v>7.8240221488578188</v>
      </c>
      <c r="O598" s="61">
        <f t="shared" si="16"/>
        <v>95.699999999998539</v>
      </c>
      <c r="P598" s="24">
        <f t="shared" si="17"/>
        <v>0.44932079414853909</v>
      </c>
    </row>
    <row r="599" spans="12:16" x14ac:dyDescent="0.3">
      <c r="L599" s="24">
        <f>IF('3. Detention'!$Z$7&gt;0.2*($P599),('3. Detention'!$Z$7-0.2*($P599))^2/('3. Detention'!$Z$7+0.8*($P599)),0)</f>
        <v>2.6689658697855116</v>
      </c>
      <c r="M599" s="24">
        <f>IF('3. Detention'!$AE$7&gt;0.2*($P599),('3. Detention'!$AE$7-0.2*($P599))^2/('3. Detention'!$AE$7+0.8*($P599)),0)</f>
        <v>4.7383450256561961</v>
      </c>
      <c r="N599" s="24">
        <f>IF('3. Detention'!$AJ$7&gt;0.2*($P599),('3. Detention'!$AJ$7-0.2*($P599))^2/('3. Detention'!$AJ$7+0.8*($P599)),0)</f>
        <v>7.8360202053955899</v>
      </c>
      <c r="O599" s="61">
        <f t="shared" si="16"/>
        <v>95.799999999998533</v>
      </c>
      <c r="P599" s="24">
        <f t="shared" si="17"/>
        <v>0.43841336116926222</v>
      </c>
    </row>
    <row r="600" spans="12:16" x14ac:dyDescent="0.3">
      <c r="L600" s="24">
        <f>IF('3. Detention'!$Z$7&gt;0.2*($P600),('3. Detention'!$Z$7-0.2*($P600))^2/('3. Detention'!$Z$7+0.8*($P600)),0)</f>
        <v>2.6794582842549031</v>
      </c>
      <c r="M600" s="24">
        <f>IF('3. Detention'!$AE$7&gt;0.2*($P600),('3. Detention'!$AE$7-0.2*($P600))^2/('3. Detention'!$AE$7+0.8*($P600)),0)</f>
        <v>4.7497688942562082</v>
      </c>
      <c r="N600" s="24">
        <f>IF('3. Detention'!$AJ$7&gt;0.2*($P600),('3. Detention'!$AJ$7-0.2*($P600))^2/('3. Detention'!$AJ$7+0.8*($P600)),0)</f>
        <v>7.8480183748711978</v>
      </c>
      <c r="O600" s="61">
        <f t="shared" si="16"/>
        <v>95.899999999998528</v>
      </c>
      <c r="P600" s="24">
        <f t="shared" si="17"/>
        <v>0.42752867570401776</v>
      </c>
    </row>
    <row r="601" spans="12:16" x14ac:dyDescent="0.3">
      <c r="L601" s="24">
        <f>IF('3. Detention'!$Z$7&gt;0.2*($P601),('3. Detention'!$Z$7-0.2*($P601))^2/('3. Detention'!$Z$7+0.8*($P601)),0)</f>
        <v>2.6899840051182062</v>
      </c>
      <c r="M601" s="24">
        <f>IF('3. Detention'!$AE$7&gt;0.2*($P601),('3. Detention'!$AE$7-0.2*($P601))^2/('3. Detention'!$AE$7+0.8*($P601)),0)</f>
        <v>4.7612063111642007</v>
      </c>
      <c r="N601" s="24">
        <f>IF('3. Detention'!$AJ$7&gt;0.2*($P601),('3. Detention'!$AJ$7-0.2*($P601))^2/('3. Detention'!$AJ$7+0.8*($P601)),0)</f>
        <v>7.8600166538558289</v>
      </c>
      <c r="O601" s="61">
        <f t="shared" si="16"/>
        <v>95.999999999998522</v>
      </c>
      <c r="P601" s="24">
        <f t="shared" si="17"/>
        <v>0.41666666666682772</v>
      </c>
    </row>
    <row r="602" spans="12:16" x14ac:dyDescent="0.3">
      <c r="L602" s="24">
        <f>IF('3. Detention'!$Z$7&gt;0.2*($P602),('3. Detention'!$Z$7-0.2*($P602))^2/('3. Detention'!$Z$7+0.8*($P602)),0)</f>
        <v>2.7005431697190749</v>
      </c>
      <c r="M602" s="24">
        <f>IF('3. Detention'!$AE$7&gt;0.2*($P602),('3. Detention'!$AE$7-0.2*($P602))^2/('3. Detention'!$AE$7+0.8*($P602)),0)</f>
        <v>4.7726572921669721</v>
      </c>
      <c r="N602" s="24">
        <f>IF('3. Detention'!$AJ$7&gt;0.2*($P602),('3. Detention'!$AJ$7-0.2*($P602))^2/('3. Detention'!$AJ$7+0.8*($P602)),0)</f>
        <v>7.8720150389354631</v>
      </c>
      <c r="O602" s="61">
        <f t="shared" si="16"/>
        <v>96.099999999998516</v>
      </c>
      <c r="P602" s="24">
        <f t="shared" si="17"/>
        <v>0.40582726326759122</v>
      </c>
    </row>
    <row r="603" spans="12:16" x14ac:dyDescent="0.3">
      <c r="L603" s="24">
        <f>IF('3. Detention'!$Z$7&gt;0.2*($P603),('3. Detention'!$Z$7-0.2*($P603))^2/('3. Detention'!$Z$7+0.8*($P603)),0)</f>
        <v>2.7111359162396464</v>
      </c>
      <c r="M603" s="24">
        <f>IF('3. Detention'!$AE$7&gt;0.2*($P603),('3. Detention'!$AE$7-0.2*($P603))^2/('3. Detention'!$AE$7+0.8*($P603)),0)</f>
        <v>4.7841218531061731</v>
      </c>
      <c r="N603" s="24">
        <f>IF('3. Detention'!$AJ$7&gt;0.2*($P603),('3. Detention'!$AJ$7-0.2*($P603))^2/('3. Detention'!$AJ$7+0.8*($P603)),0)</f>
        <v>7.8840135267107634</v>
      </c>
      <c r="O603" s="61">
        <f t="shared" ref="O603:O639" si="18">O602+0.1</f>
        <v>96.199999999998511</v>
      </c>
      <c r="P603" s="24">
        <f t="shared" si="17"/>
        <v>0.39501039501055679</v>
      </c>
    </row>
    <row r="604" spans="12:16" x14ac:dyDescent="0.3">
      <c r="L604" s="24">
        <f>IF('3. Detention'!$Z$7&gt;0.2*($P604),('3. Detention'!$Z$7-0.2*($P604))^2/('3. Detention'!$Z$7+0.8*($P604)),0)</f>
        <v>2.7217623837065039</v>
      </c>
      <c r="M604" s="24">
        <f>IF('3. Detention'!$AE$7&gt;0.2*($P604),('3. Detention'!$AE$7-0.2*($P604))^2/('3. Detention'!$AE$7+0.8*($P604)),0)</f>
        <v>4.7956000098783385</v>
      </c>
      <c r="N604" s="24">
        <f>IF('3. Detention'!$AJ$7&gt;0.2*($P604),('3. Detention'!$AJ$7-0.2*($P604))^2/('3. Detention'!$AJ$7+0.8*($P604)),0)</f>
        <v>7.8960121137970178</v>
      </c>
      <c r="O604" s="61">
        <f t="shared" si="18"/>
        <v>96.299999999998505</v>
      </c>
      <c r="P604" s="24">
        <f t="shared" si="17"/>
        <v>0.38421599169278764</v>
      </c>
    </row>
    <row r="605" spans="12:16" x14ac:dyDescent="0.3">
      <c r="L605" s="24">
        <f>IF('3. Detention'!$Z$7&gt;0.2*($P605),('3. Detention'!$Z$7-0.2*($P605))^2/('3. Detention'!$Z$7+0.8*($P605)),0)</f>
        <v>2.7324227119966644</v>
      </c>
      <c r="M605" s="24">
        <f>IF('3. Detention'!$AE$7&gt;0.2*($P605),('3. Detention'!$AE$7-0.2*($P605))^2/('3. Detention'!$AE$7+0.8*($P605)),0)</f>
        <v>4.8070917784349039</v>
      </c>
      <c r="N605" s="24">
        <f>IF('3. Detention'!$AJ$7&gt;0.2*($P605),('3. Detention'!$AJ$7-0.2*($P605))^2/('3. Detention'!$AJ$7+0.8*($P605)),0)</f>
        <v>7.9080107968240556</v>
      </c>
      <c r="O605" s="61">
        <f t="shared" si="18"/>
        <v>96.399999999998499</v>
      </c>
      <c r="P605" s="24">
        <f t="shared" si="17"/>
        <v>0.37344398340265172</v>
      </c>
    </row>
    <row r="606" spans="12:16" x14ac:dyDescent="0.3">
      <c r="L606" s="24">
        <f>IF('3. Detention'!$Z$7&gt;0.2*($P606),('3. Detention'!$Z$7-0.2*($P606))^2/('3. Detention'!$Z$7+0.8*($P606)),0)</f>
        <v>2.743117041843667</v>
      </c>
      <c r="M606" s="24">
        <f>IF('3. Detention'!$AE$7&gt;0.2*($P606),('3. Detention'!$AE$7-0.2*($P606))^2/('3. Detention'!$AE$7+0.8*($P606)),0)</f>
        <v>4.8185971747822558</v>
      </c>
      <c r="N606" s="24">
        <f>IF('3. Detention'!$AJ$7&gt;0.2*($P606),('3. Detention'!$AJ$7-0.2*($P606))^2/('3. Detention'!$AJ$7+0.8*($P606)),0)</f>
        <v>7.9200095724361814</v>
      </c>
      <c r="O606" s="61">
        <f t="shared" si="18"/>
        <v>96.499999999998494</v>
      </c>
      <c r="P606" s="24">
        <f t="shared" si="17"/>
        <v>0.36269430051829588</v>
      </c>
    </row>
    <row r="607" spans="12:16" x14ac:dyDescent="0.3">
      <c r="L607" s="24">
        <f>IF('3. Detention'!$Z$7&gt;0.2*($P607),('3. Detention'!$Z$7-0.2*($P607))^2/('3. Detention'!$Z$7+0.8*($P607)),0)</f>
        <v>2.7538455148436616</v>
      </c>
      <c r="M607" s="24">
        <f>IF('3. Detention'!$AE$7&gt;0.2*($P607),('3. Detention'!$AE$7-0.2*($P607))^2/('3. Detention'!$AE$7+0.8*($P607)),0)</f>
        <v>4.8301162149817394</v>
      </c>
      <c r="N607" s="24">
        <f>IF('3. Detention'!$AJ$7&gt;0.2*($P607),('3. Detention'!$AJ$7-0.2*($P607))^2/('3. Detention'!$AJ$7+0.8*($P607)),0)</f>
        <v>7.932008437292084</v>
      </c>
      <c r="O607" s="61">
        <f t="shared" si="18"/>
        <v>96.599999999998488</v>
      </c>
      <c r="P607" s="24">
        <f t="shared" si="17"/>
        <v>0.35196687370616608</v>
      </c>
    </row>
    <row r="608" spans="12:16" x14ac:dyDescent="0.3">
      <c r="L608" s="24">
        <f>IF('3. Detention'!$Z$7&gt;0.2*($P608),('3. Detention'!$Z$7-0.2*($P608))^2/('3. Detention'!$Z$7+0.8*($P608)),0)</f>
        <v>2.7646082734615991</v>
      </c>
      <c r="M608" s="24">
        <f>IF('3. Detention'!$AE$7&gt;0.2*($P608),('3. Detention'!$AE$7-0.2*($P608))^2/('3. Detention'!$AE$7+0.8*($P608)),0)</f>
        <v>4.8416489151497064</v>
      </c>
      <c r="N608" s="24">
        <f>IF('3. Detention'!$AJ$7&gt;0.2*($P608),('3. Detention'!$AJ$7-0.2*($P608))^2/('3. Detention'!$AJ$7+0.8*($P608)),0)</f>
        <v>7.9440073880647839</v>
      </c>
      <c r="O608" s="61">
        <f t="shared" si="18"/>
        <v>96.699999999998482</v>
      </c>
      <c r="P608" s="24">
        <f t="shared" si="17"/>
        <v>0.34126163391950115</v>
      </c>
    </row>
    <row r="609" spans="12:16" x14ac:dyDescent="0.3">
      <c r="L609" s="24">
        <f>IF('3. Detention'!$Z$7&gt;0.2*($P609),('3. Detention'!$Z$7-0.2*($P609))^2/('3. Detention'!$Z$7+0.8*($P609)),0)</f>
        <v>2.7754054610374492</v>
      </c>
      <c r="M609" s="24">
        <f>IF('3. Detention'!$AE$7&gt;0.2*($P609),('3. Detention'!$AE$7-0.2*($P609))^2/('3. Detention'!$AE$7+0.8*($P609)),0)</f>
        <v>4.8531952914575429</v>
      </c>
      <c r="N609" s="24">
        <f>IF('3. Detention'!$AJ$7&gt;0.2*($P609),('3. Detention'!$AJ$7-0.2*($P609))^2/('3. Detention'!$AJ$7+0.8*($P609)),0)</f>
        <v>7.9560064214415398</v>
      </c>
      <c r="O609" s="61">
        <f t="shared" si="18"/>
        <v>96.799999999998477</v>
      </c>
      <c r="P609" s="24">
        <f t="shared" si="17"/>
        <v>0.33057851239685654</v>
      </c>
    </row>
    <row r="610" spans="12:16" x14ac:dyDescent="0.3">
      <c r="L610" s="24">
        <f>IF('3. Detention'!$Z$7&gt;0.2*($P610),('3. Detention'!$Z$7-0.2*($P610))^2/('3. Detention'!$Z$7+0.8*($P610)),0)</f>
        <v>2.7862372217924811</v>
      </c>
      <c r="M610" s="24">
        <f>IF('3. Detention'!$AE$7&gt;0.2*($P610),('3. Detention'!$AE$7-0.2*($P610))^2/('3. Detention'!$AE$7+0.8*($P610)),0)</f>
        <v>4.8647553601316913</v>
      </c>
      <c r="N610" s="24">
        <f>IF('3. Detention'!$AJ$7&gt;0.2*($P610),('3. Detention'!$AJ$7-0.2*($P610))^2/('3. Detention'!$AJ$7+0.8*($P610)),0)</f>
        <v>7.9680055341237805</v>
      </c>
      <c r="O610" s="61">
        <f t="shared" si="18"/>
        <v>96.899999999998471</v>
      </c>
      <c r="P610" s="24">
        <f t="shared" si="17"/>
        <v>0.3199174406606371</v>
      </c>
    </row>
    <row r="611" spans="12:16" x14ac:dyDescent="0.3">
      <c r="L611" s="24">
        <f>IF('3. Detention'!$Z$7&gt;0.2*($P611),('3. Detention'!$Z$7-0.2*($P611))^2/('3. Detention'!$Z$7+0.8*($P611)),0)</f>
        <v>2.7971037008356077</v>
      </c>
      <c r="M611" s="24">
        <f>IF('3. Detention'!$AE$7&gt;0.2*($P611),('3. Detention'!$AE$7-0.2*($P611))^2/('3. Detention'!$AE$7+0.8*($P611)),0)</f>
        <v>4.8763291374536983</v>
      </c>
      <c r="N611" s="24">
        <f>IF('3. Detention'!$AJ$7&gt;0.2*($P611),('3. Detention'!$AJ$7-0.2*($P611))^2/('3. Detention'!$AJ$7+0.8*($P611)),0)</f>
        <v>7.9800047228270392</v>
      </c>
      <c r="O611" s="61">
        <f t="shared" si="18"/>
        <v>96.999999999998465</v>
      </c>
      <c r="P611" s="24">
        <f t="shared" si="17"/>
        <v>0.30927835051562624</v>
      </c>
    </row>
    <row r="612" spans="12:16" x14ac:dyDescent="0.3">
      <c r="L612" s="24">
        <f>IF('3. Detention'!$Z$7&gt;0.2*($P612),('3. Detention'!$Z$7-0.2*($P612))^2/('3. Detention'!$Z$7+0.8*($P612)),0)</f>
        <v>2.8080050441697808</v>
      </c>
      <c r="M612" s="24">
        <f>IF('3. Detention'!$AE$7&gt;0.2*($P612),('3. Detention'!$AE$7-0.2*($P612))^2/('3. Detention'!$AE$7+0.8*($P612)),0)</f>
        <v>4.8879166397602427</v>
      </c>
      <c r="N612" s="24">
        <f>IF('3. Detention'!$AJ$7&gt;0.2*($P612),('3. Detention'!$AJ$7-0.2*($P612))^2/('3. Detention'!$AJ$7+0.8*($P612)),0)</f>
        <v>7.9920039842808661</v>
      </c>
      <c r="O612" s="61">
        <f t="shared" si="18"/>
        <v>97.09999999999846</v>
      </c>
      <c r="P612" s="24">
        <f t="shared" si="17"/>
        <v>0.29866117404753645</v>
      </c>
    </row>
    <row r="613" spans="12:16" x14ac:dyDescent="0.3">
      <c r="L613" s="24">
        <f>IF('3. Detention'!$Z$7&gt;0.2*($P613),('3. Detention'!$Z$7-0.2*($P613))^2/('3. Detention'!$Z$7+0.8*($P613)),0)</f>
        <v>2.8189413986984455</v>
      </c>
      <c r="M613" s="24">
        <f>IF('3. Detention'!$AE$7&gt;0.2*($P613),('3. Detention'!$AE$7-0.2*($P613))^2/('3. Detention'!$AE$7+0.8*($P613)),0)</f>
        <v>4.8995178834431652</v>
      </c>
      <c r="N613" s="24">
        <f>IF('3. Detention'!$AJ$7&gt;0.2*($P613),('3. Detention'!$AJ$7-0.2*($P613))^2/('3. Detention'!$AJ$7+0.8*($P613)),0)</f>
        <v>8.0040033152287755</v>
      </c>
      <c r="O613" s="61">
        <f t="shared" si="18"/>
        <v>97.199999999998454</v>
      </c>
      <c r="P613" s="24">
        <f t="shared" si="17"/>
        <v>0.28806584362156329</v>
      </c>
    </row>
    <row r="614" spans="12:16" x14ac:dyDescent="0.3">
      <c r="L614" s="24">
        <f>IF('3. Detention'!$Z$7&gt;0.2*($P614),('3. Detention'!$Z$7-0.2*($P614))^2/('3. Detention'!$Z$7+0.8*($P614)),0)</f>
        <v>2.8299129122320585</v>
      </c>
      <c r="M614" s="24">
        <f>IF('3. Detention'!$AE$7&gt;0.2*($P614),('3. Detention'!$AE$7-0.2*($P614))^2/('3. Detention'!$AE$7+0.8*($P614)),0)</f>
        <v>4.9111328849495193</v>
      </c>
      <c r="N614" s="24">
        <f>IF('3. Detention'!$AJ$7&gt;0.2*($P614),('3. Detention'!$AJ$7-0.2*($P614))^2/('3. Detention'!$AJ$7+0.8*($P614)),0)</f>
        <v>8.0160027124281594</v>
      </c>
      <c r="O614" s="61">
        <f t="shared" si="18"/>
        <v>97.299999999998448</v>
      </c>
      <c r="P614" s="24">
        <f t="shared" si="17"/>
        <v>0.27749229188094482</v>
      </c>
    </row>
    <row r="615" spans="12:16" x14ac:dyDescent="0.3">
      <c r="L615" s="24">
        <f>IF('3. Detention'!$Z$7&gt;0.2*($P615),('3. Detention'!$Z$7-0.2*($P615))^2/('3. Detention'!$Z$7+0.8*($P615)),0)</f>
        <v>2.8409197334946525</v>
      </c>
      <c r="M615" s="24">
        <f>IF('3. Detention'!$AE$7&gt;0.2*($P615),('3. Detention'!$AE$7-0.2*($P615))^2/('3. Detention'!$AE$7+0.8*($P615)),0)</f>
        <v>4.9227616607815872</v>
      </c>
      <c r="N615" s="24">
        <f>IF('3. Detention'!$AJ$7&gt;0.2*($P615),('3. Detention'!$AJ$7-0.2*($P615))^2/('3. Detention'!$AJ$7+0.8*($P615)),0)</f>
        <v>8.0280021726502184</v>
      </c>
      <c r="O615" s="61">
        <f t="shared" si="18"/>
        <v>97.399999999998442</v>
      </c>
      <c r="P615" s="24">
        <f t="shared" si="17"/>
        <v>0.26694045174554404</v>
      </c>
    </row>
    <row r="616" spans="12:16" x14ac:dyDescent="0.3">
      <c r="L616" s="24">
        <f>IF('3. Detention'!$Z$7&gt;0.2*($P616),('3. Detention'!$Z$7-0.2*($P616))^2/('3. Detention'!$Z$7+0.8*($P616)),0)</f>
        <v>2.8519620121304738</v>
      </c>
      <c r="M616" s="24">
        <f>IF('3. Detention'!$AE$7&gt;0.2*($P616),('3. Detention'!$AE$7-0.2*($P616))^2/('3. Detention'!$AE$7+0.8*($P616)),0)</f>
        <v>4.9344042274969366</v>
      </c>
      <c r="N616" s="24">
        <f>IF('3. Detention'!$AJ$7&gt;0.2*($P616),('3. Detention'!$AJ$7-0.2*($P616))^2/('3. Detention'!$AJ$7+0.8*($P616)),0)</f>
        <v>8.0400016926798941</v>
      </c>
      <c r="O616" s="61">
        <f t="shared" si="18"/>
        <v>97.499999999998437</v>
      </c>
      <c r="P616" s="24">
        <f t="shared" si="17"/>
        <v>0.2564102564104207</v>
      </c>
    </row>
    <row r="617" spans="12:16" x14ac:dyDescent="0.3">
      <c r="L617" s="24">
        <f>IF('3. Detention'!$Z$7&gt;0.2*($P617),('3. Detention'!$Z$7-0.2*($P617))^2/('3. Detention'!$Z$7+0.8*($P617)),0)</f>
        <v>2.863039898710678</v>
      </c>
      <c r="M617" s="24">
        <f>IF('3. Detention'!$AE$7&gt;0.2*($P617),('3. Detention'!$AE$7-0.2*($P617))^2/('3. Detention'!$AE$7+0.8*($P617)),0)</f>
        <v>4.9460606017084441</v>
      </c>
      <c r="N617" s="24">
        <f>IF('3. Detention'!$AJ$7&gt;0.2*($P617),('3. Detention'!$AJ$7-0.2*($P617))^2/('3. Detention'!$AJ$7+0.8*($P617)),0)</f>
        <v>8.052001269315797</v>
      </c>
      <c r="O617" s="61">
        <f t="shared" si="18"/>
        <v>97.599999999998431</v>
      </c>
      <c r="P617" s="24">
        <f t="shared" ref="P617:P639" si="19">IF(O617&gt;0,1000/O617-10,1000)</f>
        <v>0.24590163934442621</v>
      </c>
    </row>
    <row r="618" spans="12:16" x14ac:dyDescent="0.3">
      <c r="L618" s="24">
        <f>IF('3. Detention'!$Z$7&gt;0.2*($P618),('3. Detention'!$Z$7-0.2*($P618))^2/('3. Detention'!$Z$7+0.8*($P618)),0)</f>
        <v>2.8741535447400759</v>
      </c>
      <c r="M618" s="24">
        <f>IF('3. Detention'!$AE$7&gt;0.2*($P618),('3. Detention'!$AE$7-0.2*($P618))^2/('3. Detention'!$AE$7+0.8*($P618)),0)</f>
        <v>4.9577308000843416</v>
      </c>
      <c r="N618" s="24">
        <f>IF('3. Detention'!$AJ$7&gt;0.2*($P618),('3. Detention'!$AJ$7-0.2*($P618))^2/('3. Detention'!$AJ$7+0.8*($P618)),0)</f>
        <v>8.0640008993701393</v>
      </c>
      <c r="O618" s="61">
        <f t="shared" si="18"/>
        <v>97.699999999998425</v>
      </c>
      <c r="P618" s="24">
        <f t="shared" si="19"/>
        <v>0.23541453428880388</v>
      </c>
    </row>
    <row r="619" spans="12:16" x14ac:dyDescent="0.3">
      <c r="L619" s="24">
        <f>IF('3. Detention'!$Z$7&gt;0.2*($P619),('3. Detention'!$Z$7-0.2*($P619))^2/('3. Detention'!$Z$7+0.8*($P619)),0)</f>
        <v>2.8853031026639635</v>
      </c>
      <c r="M619" s="24">
        <f>IF('3. Detention'!$AE$7&gt;0.2*($P619),('3. Detention'!$AE$7-0.2*($P619))^2/('3. Detention'!$AE$7+0.8*($P619)),0)</f>
        <v>4.9694148393482589</v>
      </c>
      <c r="N619" s="24">
        <f>IF('3. Detention'!$AJ$7&gt;0.2*($P619),('3. Detention'!$AJ$7-0.2*($P619))^2/('3. Detention'!$AJ$7+0.8*($P619)),0)</f>
        <v>8.0760005796686549</v>
      </c>
      <c r="O619" s="61">
        <f t="shared" si="18"/>
        <v>97.79999999999842</v>
      </c>
      <c r="P619" s="24">
        <f t="shared" si="19"/>
        <v>0.2249488752557891</v>
      </c>
    </row>
    <row r="620" spans="12:16" x14ac:dyDescent="0.3">
      <c r="L620" s="24">
        <f>IF('3. Detention'!$Z$7&gt;0.2*($P620),('3. Detention'!$Z$7-0.2*($P620))^2/('3. Detention'!$Z$7+0.8*($P620)),0)</f>
        <v>2.8964887258749834</v>
      </c>
      <c r="M620" s="24">
        <f>IF('3. Detention'!$AE$7&gt;0.2*($P620),('3. Detention'!$AE$7-0.2*($P620))^2/('3. Detention'!$AE$7+0.8*($P620)),0)</f>
        <v>4.9811127362792504</v>
      </c>
      <c r="N620" s="24">
        <f>IF('3. Detention'!$AJ$7&gt;0.2*($P620),('3. Detention'!$AJ$7-0.2*($P620))^2/('3. Detention'!$AJ$7+0.8*($P620)),0)</f>
        <v>8.0880003070505477</v>
      </c>
      <c r="O620" s="61">
        <f t="shared" si="18"/>
        <v>97.899999999998414</v>
      </c>
      <c r="P620" s="24">
        <f t="shared" si="19"/>
        <v>0.21450459652723453</v>
      </c>
    </row>
    <row r="621" spans="12:16" x14ac:dyDescent="0.3">
      <c r="L621" s="24">
        <f>IF('3. Detention'!$Z$7&gt;0.2*($P621),('3. Detention'!$Z$7-0.2*($P621))^2/('3. Detention'!$Z$7+0.8*($P621)),0)</f>
        <v>2.9077105687200819</v>
      </c>
      <c r="M621" s="24">
        <f>IF('3. Detention'!$AE$7&gt;0.2*($P621),('3. Detention'!$AE$7-0.2*($P621))^2/('3. Detention'!$AE$7+0.8*($P621)),0)</f>
        <v>4.9928245077118563</v>
      </c>
      <c r="N621" s="24">
        <f>IF('3. Detention'!$AJ$7&gt;0.2*($P621),('3. Detention'!$AJ$7-0.2*($P621))^2/('3. Detention'!$AJ$7+0.8*($P621)),0)</f>
        <v>8.1000000783684101</v>
      </c>
      <c r="O621" s="61">
        <f t="shared" si="18"/>
        <v>97.999999999998408</v>
      </c>
      <c r="P621" s="24">
        <f t="shared" si="19"/>
        <v>0.20408163265322621</v>
      </c>
    </row>
    <row r="622" spans="12:16" x14ac:dyDescent="0.3">
      <c r="L622" s="24">
        <f>IF('3. Detention'!$Z$7&gt;0.2*($P622),('3. Detention'!$Z$7-0.2*($P622))^2/('3. Detention'!$Z$7+0.8*($P622)),0)</f>
        <v>2.9189687865074969</v>
      </c>
      <c r="M622" s="24">
        <f>IF('3. Detention'!$AE$7&gt;0.2*($P622),('3. Detention'!$AE$7-0.2*($P622))^2/('3. Detention'!$AE$7+0.8*($P622)),0)</f>
        <v>5.0045501705361231</v>
      </c>
      <c r="N622" s="24">
        <f>IF('3. Detention'!$AJ$7&gt;0.2*($P622),('3. Detention'!$AJ$7-0.2*($P622))^2/('3. Detention'!$AJ$7+0.8*($P622)),0)</f>
        <v>8.1119998904881516</v>
      </c>
      <c r="O622" s="61">
        <f t="shared" si="18"/>
        <v>98.099999999998403</v>
      </c>
      <c r="P622" s="24">
        <f t="shared" si="19"/>
        <v>0.19367991845072652</v>
      </c>
    </row>
    <row r="623" spans="12:16" x14ac:dyDescent="0.3">
      <c r="L623" s="24">
        <f>IF('3. Detention'!$Z$7&gt;0.2*($P623),('3. Detention'!$Z$7-0.2*($P623))^2/('3. Detention'!$Z$7+0.8*($P623)),0)</f>
        <v>2.9302635355138467</v>
      </c>
      <c r="M623" s="24">
        <f>IF('3. Detention'!$AE$7&gt;0.2*($P623),('3. Detention'!$AE$7-0.2*($P623))^2/('3. Detention'!$AE$7+0.8*($P623)),0)</f>
        <v>5.0162897416976628</v>
      </c>
      <c r="N623" s="24">
        <f>IF('3. Detention'!$AJ$7&gt;0.2*($P623),('3. Detention'!$AJ$7-0.2*($P623))^2/('3. Detention'!$AJ$7+0.8*($P623)),0)</f>
        <v>8.1239997402889426</v>
      </c>
      <c r="O623" s="61">
        <f t="shared" si="18"/>
        <v>98.199999999998397</v>
      </c>
      <c r="P623" s="24">
        <f t="shared" si="19"/>
        <v>0.18329938900220277</v>
      </c>
    </row>
    <row r="624" spans="12:16" x14ac:dyDescent="0.3">
      <c r="L624" s="24">
        <f>IF('3. Detention'!$Z$7&gt;0.2*($P624),('3. Detention'!$Z$7-0.2*($P624))^2/('3. Detention'!$Z$7+0.8*($P624)),0)</f>
        <v>2.9415949729912501</v>
      </c>
      <c r="M624" s="24">
        <f>IF('3. Detention'!$AE$7&gt;0.2*($P624),('3. Detention'!$AE$7-0.2*($P624))^2/('3. Detention'!$AE$7+0.8*($P624)),0)</f>
        <v>5.0280432381976912</v>
      </c>
      <c r="N624" s="24">
        <f>IF('3. Detention'!$AJ$7&gt;0.2*($P624),('3. Detention'!$AJ$7-0.2*($P624))^2/('3. Detention'!$AJ$7+0.8*($P624)),0)</f>
        <v>8.1359996246631408</v>
      </c>
      <c r="O624" s="61">
        <f t="shared" si="18"/>
        <v>98.299999999998391</v>
      </c>
      <c r="P624" s="24">
        <f t="shared" si="19"/>
        <v>0.17293997965428609</v>
      </c>
    </row>
    <row r="625" spans="12:16" x14ac:dyDescent="0.3">
      <c r="L625" s="24">
        <f>IF('3. Detention'!$Z$7&gt;0.2*($P625),('3. Detention'!$Z$7-0.2*($P625))^2/('3. Detention'!$Z$7+0.8*($P625)),0)</f>
        <v>2.9529632571745292</v>
      </c>
      <c r="M625" s="24">
        <f>IF('3. Detention'!$AE$7&gt;0.2*($P625),('3. Detention'!$AE$7-0.2*($P625))^2/('3. Detention'!$AE$7+0.8*($P625)),0)</f>
        <v>5.0398106770930671</v>
      </c>
      <c r="N625" s="24">
        <f>IF('3. Detention'!$AJ$7&gt;0.2*($P625),('3. Detention'!$AJ$7-0.2*($P625))^2/('3. Detention'!$AJ$7+0.8*($P625)),0)</f>
        <v>8.1479995405162242</v>
      </c>
      <c r="O625" s="61">
        <f t="shared" si="18"/>
        <v>98.399999999998386</v>
      </c>
      <c r="P625" s="24">
        <f t="shared" si="19"/>
        <v>0.16260162601642669</v>
      </c>
    </row>
    <row r="626" spans="12:16" x14ac:dyDescent="0.3">
      <c r="L626" s="24">
        <f>IF('3. Detention'!$Z$7&gt;0.2*($P626),('3. Detention'!$Z$7-0.2*($P626))^2/('3. Detention'!$Z$7+0.8*($P626)),0)</f>
        <v>2.9643685472884811</v>
      </c>
      <c r="M626" s="24">
        <f>IF('3. Detention'!$AE$7&gt;0.2*($P626),('3. Detention'!$AE$7-0.2*($P626))^2/('3. Detention'!$AE$7+0.8*($P626)),0)</f>
        <v>5.0515920754963437</v>
      </c>
      <c r="N626" s="24">
        <f>IF('3. Detention'!$AJ$7&gt;0.2*($P626),('3. Detention'!$AJ$7-0.2*($P626))^2/('3. Detention'!$AJ$7+0.8*($P626)),0)</f>
        <v>8.1599994847667219</v>
      </c>
      <c r="O626" s="61">
        <f t="shared" si="18"/>
        <v>98.49999999999838</v>
      </c>
      <c r="P626" s="24">
        <f t="shared" si="19"/>
        <v>0.15228426395955807</v>
      </c>
    </row>
    <row r="627" spans="12:16" x14ac:dyDescent="0.3">
      <c r="L627" s="24">
        <f>IF('3. Detention'!$Z$7&gt;0.2*($P627),('3. Detention'!$Z$7-0.2*($P627))^2/('3. Detention'!$Z$7+0.8*($P627)),0)</f>
        <v>2.9758110035552066</v>
      </c>
      <c r="M627" s="24">
        <f>IF('3. Detention'!$AE$7&gt;0.2*($P627),('3. Detention'!$AE$7-0.2*($P627))^2/('3. Detention'!$AE$7+0.8*($P627)),0)</f>
        <v>5.0633874505758127</v>
      </c>
      <c r="N627" s="24">
        <f>IF('3. Detention'!$AJ$7&gt;0.2*($P627),('3. Detention'!$AJ$7-0.2*($P627))^2/('3. Detention'!$AJ$7+0.8*($P627)),0)</f>
        <v>8.1719994543461514</v>
      </c>
      <c r="O627" s="61">
        <f t="shared" si="18"/>
        <v>98.599999999998374</v>
      </c>
      <c r="P627" s="24">
        <f t="shared" si="19"/>
        <v>0.14198782961477185</v>
      </c>
    </row>
    <row r="628" spans="12:16" x14ac:dyDescent="0.3">
      <c r="L628" s="24">
        <f>IF('3. Detention'!$Z$7&gt;0.2*($P628),('3. Detention'!$Z$7-0.2*($P628))^2/('3. Detention'!$Z$7+0.8*($P628)),0)</f>
        <v>2.98729078720151</v>
      </c>
      <c r="M628" s="24">
        <f>IF('3. Detention'!$AE$7&gt;0.2*($P628),('3. Detention'!$AE$7-0.2*($P628))^2/('3. Detention'!$AE$7+0.8*($P628)),0)</f>
        <v>5.0751968195555497</v>
      </c>
      <c r="N628" s="24">
        <f>IF('3. Detention'!$AJ$7&gt;0.2*($P628),('3. Detention'!$AJ$7-0.2*($P628))^2/('3. Detention'!$AJ$7+0.8*($P628)),0)</f>
        <v>8.1839994461989569</v>
      </c>
      <c r="O628" s="61">
        <f t="shared" si="18"/>
        <v>98.699999999998369</v>
      </c>
      <c r="P628" s="24">
        <f t="shared" si="19"/>
        <v>0.13171225937200148</v>
      </c>
    </row>
    <row r="629" spans="12:16" x14ac:dyDescent="0.3">
      <c r="L629" s="24">
        <f>IF('3. Detention'!$Z$7&gt;0.2*($P629),('3. Detention'!$Z$7-0.2*($P629))^2/('3. Detention'!$Z$7+0.8*($P629)),0)</f>
        <v>2.9988080604663749</v>
      </c>
      <c r="M629" s="24">
        <f>IF('3. Detention'!$AE$7&gt;0.2*($P629),('3. Detention'!$AE$7-0.2*($P629))^2/('3. Detention'!$AE$7+0.8*($P629)),0)</f>
        <v>5.0870201997154609</v>
      </c>
      <c r="N629" s="24">
        <f>IF('3. Detention'!$AJ$7&gt;0.2*($P629),('3. Detention'!$AJ$7-0.2*($P629))^2/('3. Detention'!$AJ$7+0.8*($P629)),0)</f>
        <v>8.1959994572824328</v>
      </c>
      <c r="O629" s="61">
        <f t="shared" si="18"/>
        <v>98.799999999998363</v>
      </c>
      <c r="P629" s="24">
        <f t="shared" si="19"/>
        <v>0.12145748987870952</v>
      </c>
    </row>
    <row r="630" spans="12:16" x14ac:dyDescent="0.3">
      <c r="L630" s="24">
        <f>IF('3. Detention'!$Z$7&gt;0.2*($P630),('3. Detention'!$Z$7-0.2*($P630))^2/('3. Detention'!$Z$7+0.8*($P630)),0)</f>
        <v>3.0103629866084938</v>
      </c>
      <c r="M630" s="24">
        <f>IF('3. Detention'!$AE$7&gt;0.2*($P630),('3. Detention'!$AE$7-0.2*($P630))^2/('3. Detention'!$AE$7+0.8*($P630)),0)</f>
        <v>5.0988576083913308</v>
      </c>
      <c r="N630" s="24">
        <f>IF('3. Detention'!$AJ$7&gt;0.2*($P630),('3. Detention'!$AJ$7-0.2*($P630))^2/('3. Detention'!$AJ$7+0.8*($P630)),0)</f>
        <v>8.2079994845666668</v>
      </c>
      <c r="O630" s="61">
        <f t="shared" si="18"/>
        <v>98.899999999998357</v>
      </c>
      <c r="P630" s="24">
        <f t="shared" si="19"/>
        <v>0.11122345803859091</v>
      </c>
    </row>
    <row r="631" spans="12:16" x14ac:dyDescent="0.3">
      <c r="L631" s="24">
        <f>IF('3. Detention'!$Z$7&gt;0.2*($P631),('3. Detention'!$Z$7-0.2*($P631))^2/('3. Detention'!$Z$7+0.8*($P631)),0)</f>
        <v>3.0219557299138904</v>
      </c>
      <c r="M631" s="24">
        <f>IF('3. Detention'!$AE$7&gt;0.2*($P631),('3. Detention'!$AE$7-0.2*($P631))^2/('3. Detention'!$AE$7+0.8*($P631)),0)</f>
        <v>5.1107090629748777</v>
      </c>
      <c r="N631" s="24">
        <f>IF('3. Detention'!$AJ$7&gt;0.2*($P631),('3. Detention'!$AJ$7-0.2*($P631))^2/('3. Detention'!$AJ$7+0.8*($P631)),0)</f>
        <v>8.2199995250344724</v>
      </c>
      <c r="O631" s="61">
        <f t="shared" si="18"/>
        <v>98.999999999998352</v>
      </c>
      <c r="P631" s="24">
        <f t="shared" si="19"/>
        <v>0.10101010101026908</v>
      </c>
    </row>
    <row r="632" spans="12:16" x14ac:dyDescent="0.3">
      <c r="L632" s="24">
        <f>IF('3. Detention'!$Z$7&gt;0.2*($P632),('3. Detention'!$Z$7-0.2*($P632))^2/('3. Detention'!$Z$7+0.8*($P632)),0)</f>
        <v>3.0335864557035839</v>
      </c>
      <c r="M632" s="24">
        <f>IF('3. Detention'!$AE$7&gt;0.2*($P632),('3. Detention'!$AE$7-0.2*($P632))^2/('3. Detention'!$AE$7+0.8*($P632)),0)</f>
        <v>5.1225745809137928</v>
      </c>
      <c r="N632" s="24">
        <f>IF('3. Detention'!$AJ$7&gt;0.2*($P632),('3. Detention'!$AJ$7-0.2*($P632))^2/('3. Detention'!$AJ$7+0.8*($P632)),0)</f>
        <v>8.2319995756813285</v>
      </c>
      <c r="O632" s="61">
        <f t="shared" si="18"/>
        <v>99.099999999998346</v>
      </c>
      <c r="P632" s="24">
        <f t="shared" si="19"/>
        <v>9.0817356206020605E-2</v>
      </c>
    </row>
    <row r="633" spans="12:16" x14ac:dyDescent="0.3">
      <c r="L633" s="24">
        <f>IF('3. Detention'!$Z$7&gt;0.2*($P633),('3. Detention'!$Z$7-0.2*($P633))^2/('3. Detention'!$Z$7+0.8*($P633)),0)</f>
        <v>3.0452553303413512</v>
      </c>
      <c r="M633" s="24">
        <f>IF('3. Detention'!$AE$7&gt;0.2*($P633),('3. Detention'!$AE$7-0.2*($P633))^2/('3. Detention'!$AE$7+0.8*($P633)),0)</f>
        <v>5.1344541797117946</v>
      </c>
      <c r="N633" s="24">
        <f>IF('3. Detention'!$AJ$7&gt;0.2*($P633),('3. Detention'!$AJ$7-0.2*($P633))^2/('3. Detention'!$AJ$7+0.8*($P633)),0)</f>
        <v>8.2439996335153047</v>
      </c>
      <c r="O633" s="61">
        <f t="shared" si="18"/>
        <v>99.19999999999834</v>
      </c>
      <c r="P633" s="24">
        <f t="shared" si="19"/>
        <v>8.0645161290490819E-2</v>
      </c>
    </row>
    <row r="634" spans="12:16" x14ac:dyDescent="0.3">
      <c r="L634" s="24">
        <f>IF('3. Detention'!$Z$7&gt;0.2*($P634),('3. Detention'!$Z$7-0.2*($P634))^2/('3. Detention'!$Z$7+0.8*($P634)),0)</f>
        <v>3.0569625212415428</v>
      </c>
      <c r="M634" s="24">
        <f>IF('3. Detention'!$AE$7&gt;0.2*($P634),('3. Detention'!$AE$7-0.2*($P634))^2/('3. Detention'!$AE$7+0.8*($P634)),0)</f>
        <v>5.1463478769286839</v>
      </c>
      <c r="N634" s="24">
        <f>IF('3. Detention'!$AJ$7&gt;0.2*($P634),('3. Detention'!$AJ$7-0.2*($P634))^2/('3. Detention'!$AJ$7+0.8*($P634)),0)</f>
        <v>8.2559996955570085</v>
      </c>
      <c r="O634" s="61">
        <f t="shared" si="18"/>
        <v>99.299999999998334</v>
      </c>
      <c r="P634" s="24">
        <f t="shared" si="19"/>
        <v>7.0493454179423765E-2</v>
      </c>
    </row>
    <row r="635" spans="12:16" x14ac:dyDescent="0.3">
      <c r="L635" s="24">
        <f>IF('3. Detention'!$Z$7&gt;0.2*($P635),('3. Detention'!$Z$7-0.2*($P635))^2/('3. Detention'!$Z$7+0.8*($P635)),0)</f>
        <v>3.0687081968769849</v>
      </c>
      <c r="M635" s="24">
        <f>IF('3. Detention'!$AE$7&gt;0.2*($P635),('3. Detention'!$AE$7-0.2*($P635))^2/('3. Detention'!$AE$7+0.8*($P635)),0)</f>
        <v>5.1582556901803915</v>
      </c>
      <c r="N635" s="24">
        <f>IF('3. Detention'!$AJ$7&gt;0.2*($P635),('3. Detention'!$AJ$7-0.2*($P635))^2/('3. Detention'!$AJ$7+0.8*($P635)),0)</f>
        <v>8.267999758839526</v>
      </c>
      <c r="O635" s="61">
        <f t="shared" si="18"/>
        <v>99.399999999998329</v>
      </c>
      <c r="P635" s="24">
        <f t="shared" si="19"/>
        <v>6.0362173038399192E-2</v>
      </c>
    </row>
    <row r="636" spans="12:16" x14ac:dyDescent="0.3">
      <c r="L636" s="24">
        <f>IF('3. Detention'!$Z$7&gt;0.2*($P636),('3. Detention'!$Z$7-0.2*($P636))^2/('3. Detention'!$Z$7+0.8*($P636)),0)</f>
        <v>3.080492526786947</v>
      </c>
      <c r="M636" s="24">
        <f>IF('3. Detention'!$AE$7&gt;0.2*($P636),('3. Detention'!$AE$7-0.2*($P636))^2/('3. Detention'!$AE$7+0.8*($P636)),0)</f>
        <v>5.1701776371390329</v>
      </c>
      <c r="N636" s="24">
        <f>IF('3. Detention'!$AJ$7&gt;0.2*($P636),('3. Detention'!$AJ$7-0.2*($P636))^2/('3. Detention'!$AJ$7+0.8*($P636)),0)</f>
        <v>8.2799998204083423</v>
      </c>
      <c r="O636" s="61">
        <f t="shared" si="18"/>
        <v>99.499999999998323</v>
      </c>
      <c r="P636" s="24">
        <f t="shared" si="19"/>
        <v>5.0251256281576673E-2</v>
      </c>
    </row>
    <row r="637" spans="12:16" x14ac:dyDescent="0.3">
      <c r="L637" s="24">
        <f>IF('3. Detention'!$Z$7&gt;0.2*($P637),('3. Detention'!$Z$7-0.2*($P637))^2/('3. Detention'!$Z$7+0.8*($P637)),0)</f>
        <v>3.0923156815851813</v>
      </c>
      <c r="M637" s="24">
        <f>IF('3. Detention'!$AE$7&gt;0.2*($P637),('3. Detention'!$AE$7-0.2*($P637))^2/('3. Detention'!$AE$7+0.8*($P637)),0)</f>
        <v>5.1821137355329556</v>
      </c>
      <c r="N637" s="24">
        <f>IF('3. Detention'!$AJ$7&gt;0.2*($P637),('3. Detention'!$AJ$7-0.2*($P637))^2/('3. Detention'!$AJ$7+0.8*($P637)),0)</f>
        <v>8.2919998773212935</v>
      </c>
      <c r="O637" s="61">
        <f t="shared" si="18"/>
        <v>99.599999999998317</v>
      </c>
      <c r="P637" s="24">
        <f t="shared" si="19"/>
        <v>4.0160642570450378E-2</v>
      </c>
    </row>
    <row r="638" spans="12:16" x14ac:dyDescent="0.3">
      <c r="L638" s="24">
        <f>IF('3. Detention'!$Z$7&gt;0.2*($P638),('3. Detention'!$Z$7-0.2*($P638))^2/('3. Detention'!$Z$7+0.8*($P638)),0)</f>
        <v>3.1041778329680469</v>
      </c>
      <c r="M638" s="24">
        <f>IF('3. Detention'!$AE$7&gt;0.2*($P638),('3. Detention'!$AE$7-0.2*($P638))^2/('3. Detention'!$AE$7+0.8*($P638)),0)</f>
        <v>5.1940640031468002</v>
      </c>
      <c r="N638" s="24">
        <f>IF('3. Detention'!$AJ$7&gt;0.2*($P638),('3. Detention'!$AJ$7-0.2*($P638))^2/('3. Detention'!$AJ$7+0.8*($P638)),0)</f>
        <v>8.3039999266484976</v>
      </c>
      <c r="O638" s="61">
        <f t="shared" si="18"/>
        <v>99.699999999998312</v>
      </c>
      <c r="P638" s="24">
        <f t="shared" si="19"/>
        <v>3.00902708126074E-2</v>
      </c>
    </row>
    <row r="639" spans="12:16" x14ac:dyDescent="0.3">
      <c r="L639" s="24">
        <f>IF('3. Detention'!$Z$7&gt;0.2*($P639),('3. Detention'!$Z$7-0.2*($P639))^2/('3. Detention'!$Z$7+0.8*($P639)),0)</f>
        <v>3.1160791537227088</v>
      </c>
      <c r="M639" s="24">
        <f>IF('3. Detention'!$AE$7&gt;0.2*($P639),('3. Detention'!$AE$7-0.2*($P639))^2/('3. Detention'!$AE$7+0.8*($P639)),0)</f>
        <v>5.2060284578215548</v>
      </c>
      <c r="N639" s="24">
        <f>IF('3. Detention'!$AJ$7&gt;0.2*($P639),('3. Detention'!$AJ$7-0.2*($P639))^2/('3. Detention'!$AJ$7+0.8*($P639)),0)</f>
        <v>8.3159999654722956</v>
      </c>
      <c r="O639" s="61">
        <f t="shared" si="18"/>
        <v>99.799999999998306</v>
      </c>
      <c r="P639" s="24">
        <f t="shared" si="19"/>
        <v>2.0040080160491414E-2</v>
      </c>
    </row>
  </sheetData>
  <mergeCells count="1">
    <mergeCell ref="L20:P2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theme="9" tint="-0.249977111117893"/>
  </sheetPr>
  <dimension ref="A1:D23"/>
  <sheetViews>
    <sheetView workbookViewId="0">
      <selection activeCell="G13" sqref="G13"/>
    </sheetView>
  </sheetViews>
  <sheetFormatPr defaultRowHeight="14.4" x14ac:dyDescent="0.3"/>
  <cols>
    <col min="1" max="1" width="31" bestFit="1" customWidth="1"/>
    <col min="2" max="2" width="50" customWidth="1"/>
    <col min="3" max="3" width="48.44140625" customWidth="1"/>
    <col min="4" max="4" width="37" customWidth="1"/>
  </cols>
  <sheetData>
    <row r="1" spans="1:4" x14ac:dyDescent="0.3">
      <c r="A1" t="e">
        <f>IF(#REF!="More than one major drainage basin", "Morethanone", IF(#REF!="Rock Creek", "rockcreek",#REF!))</f>
        <v>#REF!</v>
      </c>
      <c r="B1" t="e">
        <f>IF(#REF!="Rock Creek", "rockcreek", IF(#REF!="Anacostia River", "Anacostia", IF(#REF!="Potomac River", "Potomac", "")))</f>
        <v>#REF!</v>
      </c>
    </row>
    <row r="3" spans="1:4" x14ac:dyDescent="0.3">
      <c r="A3" s="1" t="s">
        <v>176</v>
      </c>
      <c r="B3" s="1" t="s">
        <v>177</v>
      </c>
      <c r="C3" s="1" t="s">
        <v>178</v>
      </c>
      <c r="D3" s="1" t="s">
        <v>179</v>
      </c>
    </row>
    <row r="4" spans="1:4" x14ac:dyDescent="0.3">
      <c r="A4" t="s">
        <v>180</v>
      </c>
      <c r="B4" t="s">
        <v>180</v>
      </c>
      <c r="C4" t="s">
        <v>180</v>
      </c>
      <c r="D4" t="s">
        <v>180</v>
      </c>
    </row>
    <row r="5" spans="1:4" x14ac:dyDescent="0.3">
      <c r="A5" t="s">
        <v>181</v>
      </c>
      <c r="B5" t="s">
        <v>182</v>
      </c>
      <c r="C5" t="s">
        <v>183</v>
      </c>
    </row>
    <row r="6" spans="1:4" x14ac:dyDescent="0.3">
      <c r="A6" t="s">
        <v>184</v>
      </c>
      <c r="B6" t="s">
        <v>185</v>
      </c>
      <c r="C6" t="s">
        <v>186</v>
      </c>
    </row>
    <row r="7" spans="1:4" x14ac:dyDescent="0.3">
      <c r="A7" t="s">
        <v>187</v>
      </c>
      <c r="B7" t="s">
        <v>188</v>
      </c>
      <c r="C7" t="s">
        <v>189</v>
      </c>
    </row>
    <row r="8" spans="1:4" x14ac:dyDescent="0.3">
      <c r="A8" t="s">
        <v>190</v>
      </c>
      <c r="B8" t="s">
        <v>191</v>
      </c>
      <c r="C8" t="s">
        <v>192</v>
      </c>
    </row>
    <row r="9" spans="1:4" x14ac:dyDescent="0.3">
      <c r="A9" t="s">
        <v>193</v>
      </c>
      <c r="B9" t="s">
        <v>194</v>
      </c>
      <c r="C9" t="s">
        <v>195</v>
      </c>
    </row>
    <row r="10" spans="1:4" x14ac:dyDescent="0.3">
      <c r="A10" t="s">
        <v>196</v>
      </c>
      <c r="B10" t="s">
        <v>197</v>
      </c>
      <c r="C10" t="s">
        <v>198</v>
      </c>
    </row>
    <row r="11" spans="1:4" x14ac:dyDescent="0.3">
      <c r="A11" t="s">
        <v>199</v>
      </c>
      <c r="B11" t="s">
        <v>200</v>
      </c>
      <c r="C11" t="s">
        <v>201</v>
      </c>
    </row>
    <row r="12" spans="1:4" x14ac:dyDescent="0.3">
      <c r="A12" t="s">
        <v>202</v>
      </c>
      <c r="B12" t="s">
        <v>203</v>
      </c>
      <c r="C12" t="s">
        <v>204</v>
      </c>
    </row>
    <row r="13" spans="1:4" x14ac:dyDescent="0.3">
      <c r="A13" t="s">
        <v>205</v>
      </c>
      <c r="B13" t="s">
        <v>206</v>
      </c>
      <c r="C13" t="s">
        <v>207</v>
      </c>
    </row>
    <row r="14" spans="1:4" x14ac:dyDescent="0.3">
      <c r="A14" t="s">
        <v>208</v>
      </c>
      <c r="B14" t="s">
        <v>209</v>
      </c>
      <c r="C14" t="s">
        <v>210</v>
      </c>
    </row>
    <row r="15" spans="1:4" x14ac:dyDescent="0.3">
      <c r="A15" t="s">
        <v>211</v>
      </c>
      <c r="B15" t="s">
        <v>212</v>
      </c>
      <c r="C15" t="s">
        <v>213</v>
      </c>
    </row>
    <row r="16" spans="1:4" x14ac:dyDescent="0.3">
      <c r="A16" t="s">
        <v>214</v>
      </c>
      <c r="B16" t="s">
        <v>215</v>
      </c>
      <c r="C16" t="s">
        <v>216</v>
      </c>
    </row>
    <row r="17" spans="1:3" x14ac:dyDescent="0.3">
      <c r="A17" t="s">
        <v>217</v>
      </c>
      <c r="C17" t="s">
        <v>218</v>
      </c>
    </row>
    <row r="18" spans="1:3" x14ac:dyDescent="0.3">
      <c r="A18" t="s">
        <v>219</v>
      </c>
      <c r="C18" t="s">
        <v>220</v>
      </c>
    </row>
    <row r="19" spans="1:3" x14ac:dyDescent="0.3">
      <c r="A19" t="s">
        <v>221</v>
      </c>
      <c r="C19" t="s">
        <v>222</v>
      </c>
    </row>
    <row r="20" spans="1:3" x14ac:dyDescent="0.3">
      <c r="A20" t="s">
        <v>223</v>
      </c>
      <c r="C20" t="s">
        <v>178</v>
      </c>
    </row>
    <row r="21" spans="1:3" x14ac:dyDescent="0.3">
      <c r="A21" t="s">
        <v>224</v>
      </c>
      <c r="C21" t="s">
        <v>215</v>
      </c>
    </row>
    <row r="22" spans="1:3" x14ac:dyDescent="0.3">
      <c r="A22" t="s">
        <v>225</v>
      </c>
    </row>
    <row r="23" spans="1:3" x14ac:dyDescent="0.3">
      <c r="A23" t="s">
        <v>215</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theme="9" tint="-0.249977111117893"/>
  </sheetPr>
  <dimension ref="A1:D27"/>
  <sheetViews>
    <sheetView workbookViewId="0">
      <selection activeCell="G13" sqref="G13"/>
    </sheetView>
  </sheetViews>
  <sheetFormatPr defaultColWidth="8.88671875" defaultRowHeight="14.4" x14ac:dyDescent="0.3"/>
  <cols>
    <col min="1" max="1" width="43.6640625" style="2" customWidth="1"/>
    <col min="2" max="2" width="45.5546875" style="2" customWidth="1"/>
    <col min="3" max="3" width="39.6640625" style="2" customWidth="1"/>
    <col min="4" max="4" width="48.109375" style="2" bestFit="1" customWidth="1"/>
    <col min="5" max="5" width="30.109375" style="2" bestFit="1" customWidth="1"/>
    <col min="6" max="6" width="24.5546875" style="2" bestFit="1" customWidth="1"/>
    <col min="7" max="7" width="30.33203125" style="2" bestFit="1" customWidth="1"/>
    <col min="8" max="8" width="44.109375" style="2" bestFit="1" customWidth="1"/>
    <col min="9" max="9" width="29.5546875" style="2" bestFit="1" customWidth="1"/>
    <col min="10" max="10" width="30.6640625" style="2" bestFit="1" customWidth="1"/>
    <col min="11" max="12" width="30.44140625" style="2" bestFit="1" customWidth="1"/>
    <col min="13" max="13" width="27.5546875" style="2" bestFit="1" customWidth="1"/>
    <col min="14" max="15" width="26.88671875" style="2" bestFit="1" customWidth="1"/>
    <col min="16" max="16384" width="8.88671875" style="2"/>
  </cols>
  <sheetData>
    <row r="1" spans="1:4" x14ac:dyDescent="0.3">
      <c r="A1" s="2" t="s">
        <v>290</v>
      </c>
      <c r="C1" s="2" t="s">
        <v>290</v>
      </c>
      <c r="D1" s="2" t="s">
        <v>286</v>
      </c>
    </row>
    <row r="2" spans="1:4" x14ac:dyDescent="0.3">
      <c r="A2" s="76" t="s">
        <v>226</v>
      </c>
      <c r="C2" s="76" t="s">
        <v>226</v>
      </c>
      <c r="D2" s="2">
        <v>1</v>
      </c>
    </row>
    <row r="3" spans="1:4" x14ac:dyDescent="0.3">
      <c r="A3" s="76" t="s">
        <v>227</v>
      </c>
      <c r="C3" s="76" t="s">
        <v>227</v>
      </c>
      <c r="D3" s="2">
        <v>1</v>
      </c>
    </row>
    <row r="4" spans="1:4" x14ac:dyDescent="0.3">
      <c r="A4" s="76" t="s">
        <v>253</v>
      </c>
      <c r="C4" s="76" t="s">
        <v>276</v>
      </c>
      <c r="D4" s="2">
        <v>1</v>
      </c>
    </row>
    <row r="5" spans="1:4" x14ac:dyDescent="0.3">
      <c r="A5" s="76" t="s">
        <v>254</v>
      </c>
      <c r="C5" s="76" t="s">
        <v>278</v>
      </c>
      <c r="D5" s="2">
        <v>0.6</v>
      </c>
    </row>
    <row r="6" spans="1:4" x14ac:dyDescent="0.3">
      <c r="A6" s="76" t="s">
        <v>255</v>
      </c>
      <c r="C6" s="76" t="s">
        <v>279</v>
      </c>
      <c r="D6" s="2">
        <v>1</v>
      </c>
    </row>
    <row r="7" spans="1:4" x14ac:dyDescent="0.3">
      <c r="A7" s="76" t="s">
        <v>256</v>
      </c>
      <c r="C7" s="76" t="s">
        <v>228</v>
      </c>
      <c r="D7" s="2">
        <v>0</v>
      </c>
    </row>
    <row r="8" spans="1:4" x14ac:dyDescent="0.3">
      <c r="A8" s="76" t="s">
        <v>277</v>
      </c>
      <c r="C8" s="76" t="s">
        <v>229</v>
      </c>
      <c r="D8" s="2">
        <v>1</v>
      </c>
    </row>
    <row r="9" spans="1:4" x14ac:dyDescent="0.3">
      <c r="A9" s="76" t="s">
        <v>276</v>
      </c>
      <c r="C9" s="76" t="s">
        <v>257</v>
      </c>
      <c r="D9" s="2">
        <v>0.1</v>
      </c>
    </row>
    <row r="10" spans="1:4" x14ac:dyDescent="0.3">
      <c r="A10" s="76" t="s">
        <v>275</v>
      </c>
      <c r="C10" s="76" t="s">
        <v>258</v>
      </c>
      <c r="D10" s="2">
        <v>0.3</v>
      </c>
    </row>
    <row r="11" spans="1:4" x14ac:dyDescent="0.3">
      <c r="A11" s="76" t="s">
        <v>278</v>
      </c>
      <c r="C11" s="76" t="s">
        <v>259</v>
      </c>
      <c r="D11" s="2">
        <v>0.6</v>
      </c>
    </row>
    <row r="12" spans="1:4" x14ac:dyDescent="0.3">
      <c r="A12" s="76" t="s">
        <v>279</v>
      </c>
      <c r="C12" s="76" t="s">
        <v>230</v>
      </c>
      <c r="D12" s="2">
        <v>0.1</v>
      </c>
    </row>
    <row r="13" spans="1:4" x14ac:dyDescent="0.3">
      <c r="A13" s="76" t="s">
        <v>228</v>
      </c>
      <c r="C13" s="76" t="s">
        <v>260</v>
      </c>
      <c r="D13" s="2">
        <v>0.1</v>
      </c>
    </row>
    <row r="14" spans="1:4" x14ac:dyDescent="0.3">
      <c r="A14" s="76" t="s">
        <v>229</v>
      </c>
      <c r="C14" s="76" t="s">
        <v>261</v>
      </c>
      <c r="D14" s="2">
        <v>0.1</v>
      </c>
    </row>
    <row r="15" spans="1:4" x14ac:dyDescent="0.3">
      <c r="A15" s="76" t="s">
        <v>257</v>
      </c>
      <c r="C15" s="76" t="s">
        <v>231</v>
      </c>
      <c r="D15" s="2">
        <v>0</v>
      </c>
    </row>
    <row r="16" spans="1:4" x14ac:dyDescent="0.3">
      <c r="A16" s="76" t="s">
        <v>258</v>
      </c>
    </row>
    <row r="17" spans="1:1" x14ac:dyDescent="0.3">
      <c r="A17" s="76" t="s">
        <v>259</v>
      </c>
    </row>
    <row r="18" spans="1:1" x14ac:dyDescent="0.3">
      <c r="A18" s="76" t="s">
        <v>230</v>
      </c>
    </row>
    <row r="19" spans="1:1" x14ac:dyDescent="0.3">
      <c r="A19" s="76" t="s">
        <v>260</v>
      </c>
    </row>
    <row r="20" spans="1:1" x14ac:dyDescent="0.3">
      <c r="A20" s="76" t="s">
        <v>261</v>
      </c>
    </row>
    <row r="21" spans="1:1" x14ac:dyDescent="0.3">
      <c r="A21" s="76" t="s">
        <v>231</v>
      </c>
    </row>
    <row r="22" spans="1:1" x14ac:dyDescent="0.3">
      <c r="A22" s="76" t="s">
        <v>280</v>
      </c>
    </row>
    <row r="23" spans="1:1" x14ac:dyDescent="0.3">
      <c r="A23" s="76" t="s">
        <v>281</v>
      </c>
    </row>
    <row r="24" spans="1:1" x14ac:dyDescent="0.3">
      <c r="A24" s="76" t="s">
        <v>282</v>
      </c>
    </row>
    <row r="25" spans="1:1" x14ac:dyDescent="0.3">
      <c r="A25" s="76" t="s">
        <v>283</v>
      </c>
    </row>
    <row r="26" spans="1:1" x14ac:dyDescent="0.3">
      <c r="A26" s="76" t="s">
        <v>284</v>
      </c>
    </row>
    <row r="27" spans="1:1" x14ac:dyDescent="0.3">
      <c r="A27" s="76" t="s">
        <v>285</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roject xmlns="80727368-2d85-4693-8aca-8c33fb2339f5">301</Project>
    <IconOverlay xmlns="http://schemas.microsoft.com/sharepoint/v4" xsi:nil="true"/>
    <SharedWithUsers xmlns="80727368-2d85-4693-8aca-8c33fb2339f5">
      <UserInfo>
        <DisplayName>Sarah Ryan</DisplayName>
        <AccountId>1072</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Project Document" ma:contentTypeID="0x01010084099C5946FA6344AFBC08FDA28BB5E3000F2A5536EED47B428001DEFDF00DB8CF" ma:contentTypeVersion="19" ma:contentTypeDescription="" ma:contentTypeScope="" ma:versionID="d6e6ed7ffb191a675bbcab54a1fdd5ba">
  <xsd:schema xmlns:xsd="http://www.w3.org/2001/XMLSchema" xmlns:xs="http://www.w3.org/2001/XMLSchema" xmlns:p="http://schemas.microsoft.com/office/2006/metadata/properties" xmlns:ns2="80727368-2d85-4693-8aca-8c33fb2339f5" xmlns:ns3="http://schemas.microsoft.com/sharepoint/v4" xmlns:ns4="b031f331-093e-4af9-b9a8-5fb9941cd8bc" targetNamespace="http://schemas.microsoft.com/office/2006/metadata/properties" ma:root="true" ma:fieldsID="aac1010026ea37c8d9149f3b624ce0d5" ns2:_="" ns3:_="" ns4:_="">
    <xsd:import namespace="80727368-2d85-4693-8aca-8c33fb2339f5"/>
    <xsd:import namespace="http://schemas.microsoft.com/sharepoint/v4"/>
    <xsd:import namespace="b031f331-093e-4af9-b9a8-5fb9941cd8bc"/>
    <xsd:element name="properties">
      <xsd:complexType>
        <xsd:sequence>
          <xsd:element name="documentManagement">
            <xsd:complexType>
              <xsd:all>
                <xsd:element ref="ns2:Project" minOccurs="0"/>
                <xsd:element ref="ns2:Project_x003a_Description" minOccurs="0"/>
                <xsd:element ref="ns2:SharedWithUsers" minOccurs="0"/>
                <xsd:element ref="ns3:IconOverlay" minOccurs="0"/>
                <xsd:element ref="ns2:SharingHintHash" minOccurs="0"/>
                <xsd:element ref="ns2:SharedWithDetails" minOccurs="0"/>
                <xsd:element ref="ns2:LastSharedByUser" minOccurs="0"/>
                <xsd:element ref="ns2:LastSharedByTime"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727368-2d85-4693-8aca-8c33fb2339f5" elementFormDefault="qualified">
    <xsd:import namespace="http://schemas.microsoft.com/office/2006/documentManagement/types"/>
    <xsd:import namespace="http://schemas.microsoft.com/office/infopath/2007/PartnerControls"/>
    <xsd:element name="Project" ma:index="8" nillable="true" ma:displayName="Project" ma:list="{466bfe19-0901-498c-8ba9-2a12267cbd25}" ma:internalName="Project" ma:readOnly="false" ma:showField="Title" ma:web="80727368-2d85-4693-8aca-8c33fb2339f5">
      <xsd:simpleType>
        <xsd:restriction base="dms:Lookup"/>
      </xsd:simpleType>
    </xsd:element>
    <xsd:element name="Project_x003a_Description" ma:index="9" nillable="true" ma:displayName="Project:Description" ma:list="{466bfe19-0901-498c-8ba9-2a12267cbd25}" ma:internalName="Project_x003A_Description" ma:readOnly="true" ma:showField="CategoryDescription" ma:web="80727368-2d85-4693-8aca-8c33fb2339f5">
      <xsd:simpleType>
        <xsd:restriction base="dms:Lookup"/>
      </xsd:simpleType>
    </xsd:element>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2" nillable="true" ma:displayName="Sharing Hint Hash" ma:internalName="SharingHintHash" ma:readOnly="true">
      <xsd:simpleType>
        <xsd:restriction base="dms:Text"/>
      </xsd:simpleType>
    </xsd:element>
    <xsd:element name="SharedWithDetails" ma:index="13" nillable="true" ma:displayName="Shared With Details" ma:internalName="SharedWithDetails" ma:readOnly="true">
      <xsd:simpleType>
        <xsd:restriction base="dms:Note">
          <xsd:maxLength value="255"/>
        </xsd:restriction>
      </xsd:simpleType>
    </xsd:element>
    <xsd:element name="LastSharedByUser" ma:index="14" nillable="true" ma:displayName="Last Shared By User" ma:description="" ma:internalName="LastSharedByUser" ma:readOnly="true">
      <xsd:simpleType>
        <xsd:restriction base="dms:Note">
          <xsd:maxLength value="255"/>
        </xsd:restriction>
      </xsd:simpleType>
    </xsd:element>
    <xsd:element name="LastSharedByTime" ma:index="15"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1"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031f331-093e-4af9-b9a8-5fb9941cd8bc" elementFormDefault="qualified">
    <xsd:import namespace="http://schemas.microsoft.com/office/2006/documentManagement/types"/>
    <xsd:import namespace="http://schemas.microsoft.com/office/infopath/2007/PartnerControls"/>
    <xsd:element name="MediaServiceMetadata" ma:index="16" nillable="true" ma:displayName="MediaServiceMetadata" ma:description="" ma:hidden="true" ma:internalName="MediaServiceMetadata" ma:readOnly="true">
      <xsd:simpleType>
        <xsd:restriction base="dms:Note"/>
      </xsd:simpleType>
    </xsd:element>
    <xsd:element name="MediaServiceFastMetadata" ma:index="17" nillable="true" ma:displayName="MediaServiceFastMetadata" ma:description="" ma:hidden="true" ma:internalName="MediaServiceFastMetadata" ma:readOnly="true">
      <xsd:simpleType>
        <xsd:restriction base="dms:Note"/>
      </xsd:simpleType>
    </xsd:element>
    <xsd:element name="MediaServiceDateTaken" ma:index="18" nillable="true" ma:displayName="MediaServiceDateTaken" ma:description="" ma:hidden="true" ma:internalName="MediaServiceDateTaken" ma:readOnly="true">
      <xsd:simpleType>
        <xsd:restriction base="dms:Text"/>
      </xsd:simpleType>
    </xsd:element>
    <xsd:element name="MediaServiceAutoTags" ma:index="19" nillable="true" ma:displayName="MediaServiceAutoTags" ma:description="" ma:internalName="MediaServiceAutoTags" ma:readOnly="true">
      <xsd:simpleType>
        <xsd:restriction base="dms:Text"/>
      </xsd:simpleType>
    </xsd:element>
    <xsd:element name="MediaServiceLocation" ma:index="20" nillable="true" ma:displayName="MediaServiceLocation" ma:description="" ma:internalName="MediaServiceLocation" ma:readOnly="true">
      <xsd:simpleType>
        <xsd:restriction base="dms:Text"/>
      </xsd:simpleType>
    </xsd:element>
    <xsd:element name="MediaServiceOCR" ma:index="21" nillable="true" ma:displayName="MediaServiceOCR" ma:internalName="MediaServiceOCR" ma:readOnly="true">
      <xsd:simpleType>
        <xsd:restriction base="dms:Note">
          <xsd:maxLength value="255"/>
        </xsd:restriction>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AutoKeyPoints" ma:index="24" nillable="true" ma:displayName="MediaServiceAutoKeyPoints" ma:hidden="true" ma:internalName="MediaServiceAutoKeyPoints" ma:readOnly="true">
      <xsd:simpleType>
        <xsd:restriction base="dms:Note"/>
      </xsd:simpleType>
    </xsd:element>
    <xsd:element name="MediaServiceKeyPoints" ma:index="25"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FED6DF-3D2B-4AF3-8EE1-7A5A56222662}">
  <ds:schemaRefs>
    <ds:schemaRef ds:uri="http://schemas.microsoft.com/sharepoint/v3/contenttype/forms"/>
  </ds:schemaRefs>
</ds:datastoreItem>
</file>

<file path=customXml/itemProps2.xml><?xml version="1.0" encoding="utf-8"?>
<ds:datastoreItem xmlns:ds="http://schemas.openxmlformats.org/officeDocument/2006/customXml" ds:itemID="{B4AB3B76-6DCD-4591-BF85-5C7A02D69B80}">
  <ds:schemaRefs>
    <ds:schemaRef ds:uri="http://schemas.microsoft.com/sharepoint/v4"/>
    <ds:schemaRef ds:uri="80727368-2d85-4693-8aca-8c33fb2339f5"/>
    <ds:schemaRef ds:uri="b031f331-093e-4af9-b9a8-5fb9941cd8bc"/>
    <ds:schemaRef ds:uri="http://purl.org/dc/dcmitype/"/>
    <ds:schemaRef ds:uri="http://purl.org/dc/elements/1.1/"/>
    <ds:schemaRef ds:uri="http://www.w3.org/XML/1998/namespace"/>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A410C612-77CB-4F5E-A4BD-1B41E9FCA1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727368-2d85-4693-8aca-8c33fb2339f5"/>
    <ds:schemaRef ds:uri="http://schemas.microsoft.com/sharepoint/v4"/>
    <ds:schemaRef ds:uri="b031f331-093e-4af9-b9a8-5fb9941cd8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31</vt:i4>
      </vt:variant>
    </vt:vector>
  </HeadingPairs>
  <TitlesOfParts>
    <vt:vector size="41" baseType="lpstr">
      <vt:lpstr>Instructions</vt:lpstr>
      <vt:lpstr>Compliance Check Summary</vt:lpstr>
      <vt:lpstr>Site Data</vt:lpstr>
      <vt:lpstr>1. Site Drainage Areas</vt:lpstr>
      <vt:lpstr>2. BMP Data</vt:lpstr>
      <vt:lpstr>3. Detention</vt:lpstr>
      <vt:lpstr>Saved Values</vt:lpstr>
      <vt:lpstr>Watersheds</vt:lpstr>
      <vt:lpstr>BMP Types</vt:lpstr>
      <vt:lpstr>Retention Calculations</vt:lpstr>
      <vt:lpstr>Anacostia</vt:lpstr>
      <vt:lpstr>Bioretention</vt:lpstr>
      <vt:lpstr>'2. BMP Data'!BMP_ID</vt:lpstr>
      <vt:lpstr>BMP_ID_Number</vt:lpstr>
      <vt:lpstr>'2. BMP Data'!DownstreamBMP</vt:lpstr>
      <vt:lpstr>DownstreamBMP</vt:lpstr>
      <vt:lpstr>'2. BMP Data'!DownstreamBMP_ID</vt:lpstr>
      <vt:lpstr>Filtering</vt:lpstr>
      <vt:lpstr>Filtering_System</vt:lpstr>
      <vt:lpstr>Green</vt:lpstr>
      <vt:lpstr>Green_Roof</vt:lpstr>
      <vt:lpstr>Impervious</vt:lpstr>
      <vt:lpstr>Impervious_Surface_Disconnection</vt:lpstr>
      <vt:lpstr>Infiltration</vt:lpstr>
      <vt:lpstr>Morethanone</vt:lpstr>
      <vt:lpstr>Open</vt:lpstr>
      <vt:lpstr>Open_Channel</vt:lpstr>
      <vt:lpstr>Permeable</vt:lpstr>
      <vt:lpstr>Permeable_Pavement</vt:lpstr>
      <vt:lpstr>Pond</vt:lpstr>
      <vt:lpstr>Ponds</vt:lpstr>
      <vt:lpstr>Potomac</vt:lpstr>
      <vt:lpstr>Proprietary_Practice</vt:lpstr>
      <vt:lpstr>Rainwater_Harvesting</vt:lpstr>
      <vt:lpstr>RockCreek</vt:lpstr>
      <vt:lpstr>Tree</vt:lpstr>
      <vt:lpstr>Tree_Planting</vt:lpstr>
      <vt:lpstr>Tree_Preservation</vt:lpstr>
      <vt:lpstr>'2. BMP Data'!Volume_Remaining</vt:lpstr>
      <vt:lpstr>Wetland</vt:lpstr>
      <vt:lpstr>Wetlands</vt:lpstr>
    </vt:vector>
  </TitlesOfParts>
  <Manager/>
  <Company>DC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Matthew Espie</dc:creator>
  <cp:keywords/>
  <dc:description/>
  <cp:lastModifiedBy>Greg Hoffmann</cp:lastModifiedBy>
  <cp:revision/>
  <dcterms:created xsi:type="dcterms:W3CDTF">2014-12-05T18:19:40Z</dcterms:created>
  <dcterms:modified xsi:type="dcterms:W3CDTF">2021-02-05T21:54:29Z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0x01010084099C5946FA6344AFBC08FDA28BB5E3000F2A5536EED47B428001DEFDF00DB8CF</vt:lpwstr>
  </property>
</Properties>
</file>